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6"/>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H173"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s="1"/>
  <c r="B60" i="37"/>
  <c r="C60" i="37"/>
  <c r="D60" i="37"/>
  <c r="G60" i="37"/>
  <c r="B61" i="37"/>
  <c r="B62" i="37"/>
  <c r="C62" i="37"/>
  <c r="D62" i="37"/>
  <c r="B63" i="37"/>
  <c r="C63" i="37"/>
  <c r="D63" i="37"/>
  <c r="B64" i="37"/>
  <c r="B65" i="37"/>
  <c r="C65" i="37"/>
  <c r="D65" i="37"/>
  <c r="G65" i="37"/>
  <c r="B66" i="37"/>
  <c r="C66" i="37"/>
  <c r="D66" i="37"/>
  <c r="G66" i="37"/>
  <c r="B67" i="37"/>
  <c r="B68" i="37"/>
  <c r="C68" i="37"/>
  <c r="D68" i="37"/>
  <c r="B69" i="37"/>
  <c r="C69" i="37"/>
  <c r="D69" i="37"/>
  <c r="B70" i="37"/>
  <c r="B71" i="37"/>
  <c r="C71" i="37"/>
  <c r="D71" i="37"/>
  <c r="G71" i="37" s="1"/>
  <c r="B72" i="37"/>
  <c r="C72" i="37"/>
  <c r="D72" i="37"/>
  <c r="G72" i="37"/>
  <c r="B73" i="37"/>
  <c r="C73" i="37"/>
  <c r="D73" i="37"/>
  <c r="G73" i="37" s="1"/>
  <c r="B74" i="37"/>
  <c r="C74" i="37"/>
  <c r="D74" i="37"/>
  <c r="G74" i="37"/>
  <c r="B75" i="37"/>
  <c r="B76" i="37"/>
  <c r="B77" i="37"/>
  <c r="C77" i="37"/>
  <c r="D77" i="37"/>
  <c r="G77" i="37"/>
  <c r="B78" i="37"/>
  <c r="C78" i="37"/>
  <c r="D78" i="37"/>
  <c r="G78" i="37" s="1"/>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s="1"/>
  <c r="B159" i="37"/>
  <c r="C159" i="37"/>
  <c r="D159" i="37"/>
  <c r="G159" i="37" s="1"/>
  <c r="B160" i="37"/>
  <c r="C160" i="37"/>
  <c r="D160" i="37"/>
  <c r="G160" i="37" s="1"/>
  <c r="B161" i="37"/>
  <c r="B162" i="37"/>
  <c r="B163" i="37"/>
  <c r="C163" i="37"/>
  <c r="D163" i="37"/>
  <c r="G163" i="37" s="1"/>
  <c r="B164" i="37"/>
  <c r="C164" i="37"/>
  <c r="D164" i="37"/>
  <c r="G164" i="37" s="1"/>
  <c r="B165" i="37"/>
  <c r="C165" i="37"/>
  <c r="D165" i="37"/>
  <c r="G165" i="37" s="1"/>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H176" i="37" s="1"/>
  <c r="B177" i="37"/>
  <c r="C177" i="37"/>
  <c r="D177" i="37"/>
  <c r="B178" i="37"/>
  <c r="C178" i="37"/>
  <c r="D178" i="37"/>
  <c r="H178" i="37" s="1"/>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H193" i="37" s="1"/>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H363" i="37" s="1"/>
  <c r="B364" i="37"/>
  <c r="C364" i="37"/>
  <c r="D364" i="37"/>
  <c r="B365" i="37"/>
  <c r="C365" i="37"/>
  <c r="D365" i="37"/>
  <c r="H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B622" i="37"/>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G639" i="37"/>
  <c r="B640" i="37"/>
  <c r="C640" i="37"/>
  <c r="D640" i="37"/>
  <c r="G640" i="37" s="1"/>
  <c r="B641" i="37"/>
  <c r="C641" i="37"/>
  <c r="D641" i="37"/>
  <c r="G641" i="37"/>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H693" i="37" s="1"/>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G982" i="37" s="1"/>
  <c r="C982" i="37"/>
  <c r="D982" i="37"/>
  <c r="B983" i="37"/>
  <c r="B984" i="37"/>
  <c r="B985" i="37"/>
  <c r="G985" i="37" s="1"/>
  <c r="C985" i="37"/>
  <c r="D985" i="37"/>
  <c r="B986" i="37"/>
  <c r="C986" i="37"/>
  <c r="D986" i="37"/>
  <c r="H986" i="37" s="1"/>
  <c r="B987" i="37"/>
  <c r="G987" i="37" s="1"/>
  <c r="C987" i="37"/>
  <c r="D987" i="37"/>
  <c r="B988" i="37"/>
  <c r="C988" i="37"/>
  <c r="D988" i="37"/>
  <c r="H988" i="37" s="1"/>
  <c r="B989" i="37"/>
  <c r="C989" i="37"/>
  <c r="D989" i="37"/>
  <c r="H989" i="37" s="1"/>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G1008" i="37" s="1"/>
  <c r="C1008" i="37"/>
  <c r="D1008" i="37"/>
  <c r="B1009" i="37"/>
  <c r="G1009" i="37" s="1"/>
  <c r="C1009" i="37"/>
  <c r="D1009" i="37"/>
  <c r="B1010" i="37"/>
  <c r="G1010" i="37" s="1"/>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G1025" i="37" s="1"/>
  <c r="B1026" i="37"/>
  <c r="C1026" i="37"/>
  <c r="D1026" i="37"/>
  <c r="G1026" i="37"/>
  <c r="B1027" i="37"/>
  <c r="B1028" i="37"/>
  <c r="G1028" i="37" s="1"/>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G1035" i="37"/>
  <c r="B1036" i="37"/>
  <c r="C1036" i="37"/>
  <c r="D1036" i="37"/>
  <c r="G1036" i="37" s="1"/>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G1129" i="37" s="1"/>
  <c r="D1129" i="37"/>
  <c r="B1130" i="37"/>
  <c r="C1130" i="37"/>
  <c r="D1130" i="37"/>
  <c r="B1131" i="37"/>
  <c r="C1131" i="37"/>
  <c r="G1131" i="37" s="1"/>
  <c r="D1131" i="37"/>
  <c r="B1132" i="37"/>
  <c r="C1132" i="37"/>
  <c r="D1132" i="37"/>
  <c r="B1133" i="37"/>
  <c r="C1133" i="37"/>
  <c r="G1133" i="37" s="1"/>
  <c r="D1133" i="37"/>
  <c r="B1134" i="37"/>
  <c r="B1135" i="37"/>
  <c r="C1135" i="37"/>
  <c r="D1135" i="37"/>
  <c r="G1135" i="37"/>
  <c r="B1136" i="37"/>
  <c r="C1136" i="37"/>
  <c r="D1136" i="37"/>
  <c r="G1136" i="37"/>
  <c r="B1137" i="37"/>
  <c r="C1137" i="37"/>
  <c r="D1137" i="37"/>
  <c r="G1137" i="37"/>
  <c r="B1138" i="37"/>
  <c r="B1139" i="37"/>
  <c r="B1140" i="37"/>
  <c r="B1141" i="37"/>
  <c r="C1141" i="37"/>
  <c r="H1141" i="37" s="1"/>
  <c r="D1141" i="37"/>
  <c r="B1142" i="37"/>
  <c r="C1142" i="37"/>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s="1"/>
  <c r="B1149" i="37"/>
  <c r="C1149" i="37"/>
  <c r="D1149" i="37"/>
  <c r="G1149" i="37"/>
  <c r="B1150" i="37"/>
  <c r="C1150" i="37"/>
  <c r="D1150" i="37"/>
  <c r="G1150" i="37"/>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c r="B1214" i="37"/>
  <c r="C1214" i="37"/>
  <c r="D1214" i="37"/>
  <c r="G1214" i="37" s="1"/>
  <c r="B1215" i="37"/>
  <c r="C1215" i="37"/>
  <c r="D1215" i="37"/>
  <c r="G1215" i="37"/>
  <c r="B1216" i="37"/>
  <c r="C1216" i="37"/>
  <c r="D1216" i="37"/>
  <c r="G1216" i="37" s="1"/>
  <c r="B1217" i="37"/>
  <c r="C1217" i="37"/>
  <c r="D1217" i="37"/>
  <c r="G1217" i="37"/>
  <c r="B1218" i="37"/>
  <c r="C1218" i="37"/>
  <c r="D1218" i="37"/>
  <c r="G1218" i="37"/>
  <c r="B1219" i="37"/>
  <c r="B1220" i="37"/>
  <c r="B1221" i="37"/>
  <c r="C1221" i="37"/>
  <c r="D1221" i="37"/>
  <c r="H1221" i="37" s="1"/>
  <c r="B1222" i="37"/>
  <c r="C1222" i="37"/>
  <c r="D1222" i="37"/>
  <c r="B1223" i="37"/>
  <c r="C1223" i="37"/>
  <c r="G1223" i="37" s="1"/>
  <c r="D1223" i="37"/>
  <c r="B1224" i="37"/>
  <c r="C1224" i="37"/>
  <c r="D1224" i="37"/>
  <c r="B1225" i="37"/>
  <c r="C1225" i="37"/>
  <c r="D1225" i="37"/>
  <c r="H1225" i="37" s="1"/>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G1251" i="37" s="1"/>
  <c r="D1251" i="37"/>
  <c r="B1252" i="37"/>
  <c r="C1252" i="37"/>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C1344" i="37"/>
  <c r="D1344" i="37"/>
  <c r="B1345" i="37"/>
  <c r="C1345" i="37"/>
  <c r="D1345" i="37"/>
  <c r="B1346" i="37"/>
  <c r="C1346" i="37"/>
  <c r="D1346" i="37"/>
  <c r="B1347" i="37"/>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C1377" i="37"/>
  <c r="D1377" i="37"/>
  <c r="B1378" i="37"/>
  <c r="C1378" i="37"/>
  <c r="D1378" i="37"/>
  <c r="B1379" i="37"/>
  <c r="C1379" i="37"/>
  <c r="D1379" i="37"/>
  <c r="B1380" i="37"/>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G1399" i="37"/>
  <c r="B1400" i="37"/>
  <c r="B1401" i="37"/>
  <c r="C1401" i="37"/>
  <c r="D1401" i="37"/>
  <c r="B1402" i="37"/>
  <c r="C1402" i="37"/>
  <c r="D1402" i="37"/>
  <c r="B1403" i="37"/>
  <c r="C1403" i="37"/>
  <c r="D1403" i="37"/>
  <c r="B1404" i="37"/>
  <c r="B1405" i="37"/>
  <c r="C1405" i="37"/>
  <c r="D1405" i="37"/>
  <c r="G1405" i="37"/>
  <c r="B1406" i="37"/>
  <c r="C1406" i="37"/>
  <c r="D1406" i="37"/>
  <c r="G1406" i="37"/>
  <c r="B1407" i="37"/>
  <c r="C1407" i="37"/>
  <c r="D1407" i="37"/>
  <c r="G1407" i="37"/>
  <c r="B1408" i="37"/>
  <c r="C1408" i="37"/>
  <c r="D1408" i="37"/>
  <c r="G1408" i="37"/>
  <c r="B1409" i="37"/>
  <c r="C1409" i="37"/>
  <c r="D1409" i="37"/>
  <c r="G1409" i="37"/>
  <c r="B1410" i="37"/>
  <c r="C1410" i="37"/>
  <c r="D1410" i="37"/>
  <c r="G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D1428" i="37"/>
  <c r="G1428" i="37"/>
  <c r="B1429" i="37"/>
  <c r="C1429" i="37"/>
  <c r="D1429" i="37"/>
  <c r="G1429" i="37"/>
  <c r="B1430" i="37"/>
  <c r="C1430" i="37"/>
  <c r="D1430" i="37"/>
  <c r="G1430" i="37"/>
  <c r="B1431" i="37"/>
  <c r="C1431" i="37"/>
  <c r="D1431" i="37"/>
  <c r="G1431" i="37"/>
  <c r="B1432" i="37"/>
  <c r="C1432" i="37"/>
  <c r="D1432" i="37"/>
  <c r="G1432" i="37"/>
  <c r="B1433" i="37"/>
  <c r="B1434" i="37"/>
  <c r="C1434" i="37"/>
  <c r="D1434" i="37"/>
  <c r="B1435" i="37"/>
  <c r="C1435" i="37"/>
  <c r="D1435" i="37"/>
  <c r="B1436" i="37"/>
  <c r="C1436" i="37"/>
  <c r="D1436" i="37"/>
  <c r="B1437" i="37"/>
  <c r="C1437" i="37"/>
  <c r="D1437" i="37"/>
  <c r="B1438" i="37"/>
  <c r="C1438" i="37"/>
  <c r="D1438" i="37"/>
  <c r="B1439" i="37"/>
  <c r="C1439" i="37"/>
  <c r="D1439" i="37"/>
  <c r="B1440" i="37"/>
  <c r="C1440" i="37"/>
  <c r="D1440" i="37"/>
  <c r="B1441" i="37"/>
  <c r="B1442" i="37"/>
  <c r="B1443" i="37"/>
  <c r="C1443" i="37"/>
  <c r="D1443" i="37"/>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C1476" i="37"/>
  <c r="H1476" i="37" s="1"/>
  <c r="B1477" i="37"/>
  <c r="C1477" i="37"/>
  <c r="G1477" i="37" s="1"/>
  <c r="B1478" i="37"/>
  <c r="C1478" i="37"/>
  <c r="B1479" i="37"/>
  <c r="G1479" i="37" s="1"/>
  <c r="C1479" i="37"/>
  <c r="B1480" i="37"/>
  <c r="B1481" i="37"/>
  <c r="C1481" i="37"/>
  <c r="G1481" i="37" s="1"/>
  <c r="B1482" i="37"/>
  <c r="C1482" i="37"/>
  <c r="B1483" i="37"/>
  <c r="G1483" i="37" s="1"/>
  <c r="C1483" i="37"/>
  <c r="B1484" i="37"/>
  <c r="C1484" i="37"/>
  <c r="H1484" i="37" s="1"/>
  <c r="B1485" i="37"/>
  <c r="C1485" i="37"/>
  <c r="G1485" i="37"/>
  <c r="B1486" i="37"/>
  <c r="B1487" i="37"/>
  <c r="G1487" i="37" s="1"/>
  <c r="C1487" i="37"/>
  <c r="B1488" i="37"/>
  <c r="B1489" i="37"/>
  <c r="C1489" i="37"/>
  <c r="G1489" i="37" s="1"/>
  <c r="B1490" i="37"/>
  <c r="C1490" i="37"/>
  <c r="G1490" i="37" s="1"/>
  <c r="B1491" i="37"/>
  <c r="C1491" i="37"/>
  <c r="H1491" i="37" s="1"/>
  <c r="B1492" i="37"/>
  <c r="C1492" i="37"/>
  <c r="H1492" i="37" s="1"/>
  <c r="B1493" i="37"/>
  <c r="C1493" i="37"/>
  <c r="G1493" i="37" s="1"/>
  <c r="B1494" i="37"/>
  <c r="C1494" i="37"/>
  <c r="B1495" i="37"/>
  <c r="C1495" i="37"/>
  <c r="B1496" i="37"/>
  <c r="C1496" i="37"/>
  <c r="H1496" i="37" s="1"/>
  <c r="B1497" i="37"/>
  <c r="G1497" i="37" s="1"/>
  <c r="B1498" i="37"/>
  <c r="C1498" i="37"/>
  <c r="B1499" i="37"/>
  <c r="G1499" i="37" s="1"/>
  <c r="C1499" i="37"/>
  <c r="B1500" i="37"/>
  <c r="G1500" i="37" s="1"/>
  <c r="C1500" i="37"/>
  <c r="H1500" i="37" s="1"/>
  <c r="B1501" i="37"/>
  <c r="C1501" i="37"/>
  <c r="G1501" i="37"/>
  <c r="B1502" i="37"/>
  <c r="C1502" i="37"/>
  <c r="G1502" i="37" s="1"/>
  <c r="B1503" i="37"/>
  <c r="B1504" i="37"/>
  <c r="B1505" i="37"/>
  <c r="B1506" i="37"/>
  <c r="C1506" i="37"/>
  <c r="B1507" i="37"/>
  <c r="G1507" i="37" s="1"/>
  <c r="C1507" i="37"/>
  <c r="B1508" i="37"/>
  <c r="G1508" i="37" s="1"/>
  <c r="C1508" i="37"/>
  <c r="H1508" i="37" s="1"/>
  <c r="B1509" i="37"/>
  <c r="C1509" i="37"/>
  <c r="G1509" i="37"/>
  <c r="B1510" i="37"/>
  <c r="B1511" i="37"/>
  <c r="B1512" i="37"/>
  <c r="C1512" i="37"/>
  <c r="H1512" i="37" s="1"/>
  <c r="B1513" i="37"/>
  <c r="C1513" i="37"/>
  <c r="G1513" i="37" s="1"/>
  <c r="B1514" i="37"/>
  <c r="C1514" i="37"/>
  <c r="B1515" i="37"/>
  <c r="G1515" i="37" s="1"/>
  <c r="C1515" i="37"/>
  <c r="B1516" i="37"/>
  <c r="B1517" i="37"/>
  <c r="C1517" i="37"/>
  <c r="G1517" i="37" s="1"/>
  <c r="B1518" i="37"/>
  <c r="C1518" i="37"/>
  <c r="B1519" i="37"/>
  <c r="G1519" i="37" s="1"/>
  <c r="C1519" i="37"/>
  <c r="B1520" i="37"/>
  <c r="C1520" i="37"/>
  <c r="H1520" i="37" s="1"/>
  <c r="B1521" i="37"/>
  <c r="B1522" i="37"/>
  <c r="C1522" i="37"/>
  <c r="G1522" i="37" s="1"/>
  <c r="B1523" i="37"/>
  <c r="C1523" i="37"/>
  <c r="H1523" i="37" s="1"/>
  <c r="B1524" i="37"/>
  <c r="C1524" i="37"/>
  <c r="H1524" i="37" s="1"/>
  <c r="B1525" i="37"/>
  <c r="C1525" i="37"/>
  <c r="G1525" i="37" s="1"/>
  <c r="B1526" i="37"/>
  <c r="B1527" i="37"/>
  <c r="C1527" i="37"/>
  <c r="H1527" i="37" s="1"/>
  <c r="B1528" i="37"/>
  <c r="C1528" i="37"/>
  <c r="H1528" i="37" s="1"/>
  <c r="B1529" i="37"/>
  <c r="C1529" i="37"/>
  <c r="G1529" i="37" s="1"/>
  <c r="B1530" i="37"/>
  <c r="C1530" i="37"/>
  <c r="B1531" i="37"/>
  <c r="B1532" i="37"/>
  <c r="C1532" i="37"/>
  <c r="H1532" i="37" s="1"/>
  <c r="B1533" i="37"/>
  <c r="C1533" i="37"/>
  <c r="G1533" i="37" s="1"/>
  <c r="B1534" i="37"/>
  <c r="C1534" i="37"/>
  <c r="B1535" i="37"/>
  <c r="G1535" i="37" s="1"/>
  <c r="C1535" i="37"/>
  <c r="B1536" i="37"/>
  <c r="B1537" i="37"/>
  <c r="C1537" i="37"/>
  <c r="G1537" i="37" s="1"/>
  <c r="B1538" i="37"/>
  <c r="C1538" i="37"/>
  <c r="B1539" i="37"/>
  <c r="G1539" i="37" s="1"/>
  <c r="C1539" i="37"/>
  <c r="B1540" i="37"/>
  <c r="G1540" i="37" s="1"/>
  <c r="C1540" i="37"/>
  <c r="H1540" i="37" s="1"/>
  <c r="B1541" i="37"/>
  <c r="B1542" i="37"/>
  <c r="C1542" i="37"/>
  <c r="G1542" i="37" s="1"/>
  <c r="B1543" i="37"/>
  <c r="C1543" i="37"/>
  <c r="H1543" i="37" s="1"/>
  <c r="B1544" i="37"/>
  <c r="C1544" i="37"/>
  <c r="H1544" i="37" s="1"/>
  <c r="B1545" i="37"/>
  <c r="C1545" i="37"/>
  <c r="G1545" i="37" s="1"/>
  <c r="B1546" i="37"/>
  <c r="B1547" i="37"/>
  <c r="C1547" i="37"/>
  <c r="H1547" i="37" s="1"/>
  <c r="B1548" i="37"/>
  <c r="C1548" i="37"/>
  <c r="H1548" i="37" s="1"/>
  <c r="B1549" i="37"/>
  <c r="C1549" i="37"/>
  <c r="G1549" i="37" s="1"/>
  <c r="B1550" i="37"/>
  <c r="C1550" i="37"/>
  <c r="B1551" i="37"/>
  <c r="B1552" i="37"/>
  <c r="C1552" i="37"/>
  <c r="H1552" i="37" s="1"/>
  <c r="B1553" i="37"/>
  <c r="C1553" i="37"/>
  <c r="G1553" i="37" s="1"/>
  <c r="B1554" i="37"/>
  <c r="C1554" i="37"/>
  <c r="B1555" i="37"/>
  <c r="G1555" i="37" s="1"/>
  <c r="C1555" i="37"/>
  <c r="B1556" i="37"/>
  <c r="G1556" i="37" s="1"/>
  <c r="C1556" i="37"/>
  <c r="H1556" i="37" s="1"/>
  <c r="B1557" i="37"/>
  <c r="B1558" i="37"/>
  <c r="C1558" i="37"/>
  <c r="B1559" i="37"/>
  <c r="C1559" i="37"/>
  <c r="B1560" i="37"/>
  <c r="C1560" i="37"/>
  <c r="H1560" i="37" s="1"/>
  <c r="B1561" i="37"/>
  <c r="C1561" i="37"/>
  <c r="G1561" i="37"/>
  <c r="Q3" i="3"/>
  <c r="H1561" i="37"/>
  <c r="H1559" i="37"/>
  <c r="H1555" i="37"/>
  <c r="H1549" i="37"/>
  <c r="H1545" i="37"/>
  <c r="H1539" i="37"/>
  <c r="H1535" i="37"/>
  <c r="H1529" i="37"/>
  <c r="H1525" i="37"/>
  <c r="H1519" i="37"/>
  <c r="H1515" i="37"/>
  <c r="H1509" i="37"/>
  <c r="H1507" i="37"/>
  <c r="H1501" i="37"/>
  <c r="H1499" i="37"/>
  <c r="H1495" i="37"/>
  <c r="H1493" i="37"/>
  <c r="H1487" i="37"/>
  <c r="H1485" i="37"/>
  <c r="H1483" i="37"/>
  <c r="H1481" i="37"/>
  <c r="H1479" i="37"/>
  <c r="H1477" i="37"/>
  <c r="H1475" i="37"/>
  <c r="H1467" i="37"/>
  <c r="H1465" i="37"/>
  <c r="H1447" i="37"/>
  <c r="H1445" i="37"/>
  <c r="H1444" i="37"/>
  <c r="H1443" i="37"/>
  <c r="H1440" i="37"/>
  <c r="H1439" i="37"/>
  <c r="H1438" i="37"/>
  <c r="H1437" i="37"/>
  <c r="H1436" i="37"/>
  <c r="H1435" i="37"/>
  <c r="H1434" i="37"/>
  <c r="H1432" i="37"/>
  <c r="I1432" i="37" s="1"/>
  <c r="H1431" i="37"/>
  <c r="H1430" i="37"/>
  <c r="I1430" i="37"/>
  <c r="H1429" i="37"/>
  <c r="H1428" i="37"/>
  <c r="I1428" i="37" s="1"/>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4" i="37"/>
  <c r="H1223" i="37"/>
  <c r="H1222"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7" i="37"/>
  <c r="H1146" i="37"/>
  <c r="H1145" i="37"/>
  <c r="H1144" i="37"/>
  <c r="H1142"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3" i="37"/>
  <c r="H991" i="37"/>
  <c r="H987"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6" i="37"/>
  <c r="H364"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2" i="37"/>
  <c r="H191" i="37"/>
  <c r="H190" i="37"/>
  <c r="H189" i="37"/>
  <c r="H188" i="37"/>
  <c r="H187" i="37"/>
  <c r="H185" i="37"/>
  <c r="H184" i="37"/>
  <c r="H183" i="37"/>
  <c r="H182" i="37"/>
  <c r="H180" i="37"/>
  <c r="H179" i="37"/>
  <c r="H177" i="37"/>
  <c r="H174" i="37"/>
  <c r="H173" i="37"/>
  <c r="H172" i="37"/>
  <c r="H171" i="37"/>
  <c r="H170" i="37"/>
  <c r="H169" i="37"/>
  <c r="H168" i="37"/>
  <c r="H166" i="37"/>
  <c r="H165" i="37"/>
  <c r="H164" i="37"/>
  <c r="H163" i="37"/>
  <c r="H160"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H29" i="3"/>
  <c r="G31" i="3"/>
  <c r="H31" i="3"/>
  <c r="G32" i="3"/>
  <c r="H32" i="3"/>
  <c r="G33" i="3"/>
  <c r="H33" i="3"/>
  <c r="E33" i="3" s="1"/>
  <c r="B33" i="3" s="1"/>
  <c r="G34" i="3"/>
  <c r="H34" i="3"/>
  <c r="G35" i="3"/>
  <c r="H35" i="3"/>
  <c r="G36" i="3"/>
  <c r="H36" i="3"/>
  <c r="G37" i="3"/>
  <c r="H37" i="3"/>
  <c r="E37" i="3"/>
  <c r="B37" i="3" s="1"/>
  <c r="G38" i="3"/>
  <c r="H38" i="3"/>
  <c r="E38" i="3" s="1"/>
  <c r="B38" i="3" s="1"/>
  <c r="G39" i="3"/>
  <c r="H39" i="3"/>
  <c r="G40" i="3"/>
  <c r="H40" i="3"/>
  <c r="G41" i="3"/>
  <c r="H41" i="3"/>
  <c r="E41" i="3" s="1"/>
  <c r="B41" i="3" s="1"/>
  <c r="G42" i="3"/>
  <c r="H42" i="3"/>
  <c r="E42" i="3" s="1"/>
  <c r="B42" i="3" s="1"/>
  <c r="G43" i="3"/>
  <c r="E43" i="3" s="1"/>
  <c r="B43" i="3" s="1"/>
  <c r="H43" i="3"/>
  <c r="G44" i="3"/>
  <c r="H44" i="3"/>
  <c r="G45" i="3"/>
  <c r="H45" i="3"/>
  <c r="E45" i="3" s="1"/>
  <c r="B45" i="3" s="1"/>
  <c r="G46" i="3"/>
  <c r="H46" i="3"/>
  <c r="G47" i="3"/>
  <c r="H47" i="3"/>
  <c r="G48" i="3"/>
  <c r="H48" i="3"/>
  <c r="G49" i="3"/>
  <c r="H49" i="3"/>
  <c r="E49" i="3"/>
  <c r="B49" i="3" s="1"/>
  <c r="G50" i="3"/>
  <c r="H50" i="3"/>
  <c r="E50" i="3" s="1"/>
  <c r="B50" i="3" s="1"/>
  <c r="G51" i="3"/>
  <c r="E51" i="3" s="1"/>
  <c r="H51" i="3"/>
  <c r="G52" i="3"/>
  <c r="H52" i="3"/>
  <c r="G53" i="3"/>
  <c r="H53" i="3"/>
  <c r="E53" i="3"/>
  <c r="B53" i="3" s="1"/>
  <c r="G54" i="3"/>
  <c r="H54" i="3"/>
  <c r="E54" i="3" s="1"/>
  <c r="B54" i="3" s="1"/>
  <c r="G55" i="3"/>
  <c r="E55" i="3" s="1"/>
  <c r="H55" i="3"/>
  <c r="G56" i="3"/>
  <c r="H56" i="3"/>
  <c r="G57" i="3"/>
  <c r="H57" i="3"/>
  <c r="E57" i="3"/>
  <c r="B57" i="3" s="1"/>
  <c r="G58" i="3"/>
  <c r="H58" i="3"/>
  <c r="E58" i="3" s="1"/>
  <c r="B58" i="3" s="1"/>
  <c r="G59" i="3"/>
  <c r="E59" i="3" s="1"/>
  <c r="H59" i="3"/>
  <c r="G60" i="3"/>
  <c r="H60" i="3"/>
  <c r="G61" i="3"/>
  <c r="H61" i="3"/>
  <c r="E61" i="3"/>
  <c r="B61" i="3" s="1"/>
  <c r="G62" i="3"/>
  <c r="H62" i="3"/>
  <c r="E62" i="3" s="1"/>
  <c r="B62" i="3" s="1"/>
  <c r="G63" i="3"/>
  <c r="E63" i="3" s="1"/>
  <c r="H63" i="3"/>
  <c r="G64" i="3"/>
  <c r="H64" i="3"/>
  <c r="G65" i="3"/>
  <c r="H65" i="3"/>
  <c r="E65" i="3" s="1"/>
  <c r="B65" i="3" s="1"/>
  <c r="G66" i="3"/>
  <c r="H66" i="3"/>
  <c r="E66" i="3" s="1"/>
  <c r="B66" i="3" s="1"/>
  <c r="G67" i="3"/>
  <c r="E67" i="3" s="1"/>
  <c r="B67" i="3" s="1"/>
  <c r="H67" i="3"/>
  <c r="G68" i="3"/>
  <c r="H68" i="3"/>
  <c r="G69" i="3"/>
  <c r="H69" i="3"/>
  <c r="E69" i="3"/>
  <c r="B69" i="3" s="1"/>
  <c r="G70" i="3"/>
  <c r="H70" i="3"/>
  <c r="E70" i="3" s="1"/>
  <c r="B70" i="3" s="1"/>
  <c r="G71" i="3"/>
  <c r="E71" i="3" s="1"/>
  <c r="H71" i="3"/>
  <c r="G72" i="3"/>
  <c r="H72" i="3"/>
  <c r="G73" i="3"/>
  <c r="H73" i="3"/>
  <c r="E73" i="3"/>
  <c r="B73" i="3" s="1"/>
  <c r="G74" i="3"/>
  <c r="H74" i="3"/>
  <c r="E74" i="3" s="1"/>
  <c r="B74" i="3" s="1"/>
  <c r="G75" i="3"/>
  <c r="E75" i="3" s="1"/>
  <c r="H75" i="3"/>
  <c r="G76" i="3"/>
  <c r="H76" i="3"/>
  <c r="G77" i="3"/>
  <c r="H77" i="3"/>
  <c r="E77" i="3"/>
  <c r="B77" i="3" s="1"/>
  <c r="G78" i="3"/>
  <c r="H78" i="3"/>
  <c r="E78" i="3" s="1"/>
  <c r="B78" i="3" s="1"/>
  <c r="G79" i="3"/>
  <c r="E79" i="3" s="1"/>
  <c r="H79" i="3"/>
  <c r="G80" i="3"/>
  <c r="H80" i="3"/>
  <c r="G81" i="3"/>
  <c r="H81" i="3"/>
  <c r="E81" i="3"/>
  <c r="B81" i="3" s="1"/>
  <c r="G82" i="3"/>
  <c r="H82" i="3"/>
  <c r="E82" i="3" s="1"/>
  <c r="B82" i="3" s="1"/>
  <c r="G83" i="3"/>
  <c r="E83" i="3" s="1"/>
  <c r="H83" i="3"/>
  <c r="G84" i="3"/>
  <c r="H84" i="3"/>
  <c r="G85" i="3"/>
  <c r="H85" i="3"/>
  <c r="E85" i="3"/>
  <c r="B85" i="3" s="1"/>
  <c r="G86" i="3"/>
  <c r="H86" i="3"/>
  <c r="E86" i="3" s="1"/>
  <c r="B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B98" i="3" s="1"/>
  <c r="G99" i="3"/>
  <c r="E99" i="3" s="1"/>
  <c r="H99" i="3"/>
  <c r="G100" i="3"/>
  <c r="H100" i="3"/>
  <c r="G101" i="3"/>
  <c r="H101" i="3"/>
  <c r="E101" i="3"/>
  <c r="B101" i="3" s="1"/>
  <c r="G102" i="3"/>
  <c r="H102" i="3"/>
  <c r="E102" i="3" s="1"/>
  <c r="B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B122" i="3" s="1"/>
  <c r="G123" i="3"/>
  <c r="E123" i="3" s="1"/>
  <c r="H123" i="3"/>
  <c r="G124" i="3"/>
  <c r="H124" i="3"/>
  <c r="G125" i="3"/>
  <c r="H125" i="3"/>
  <c r="E125" i="3"/>
  <c r="B125" i="3" s="1"/>
  <c r="G126" i="3"/>
  <c r="H126" i="3"/>
  <c r="E126" i="3" s="1"/>
  <c r="B126" i="3" s="1"/>
  <c r="G127" i="3"/>
  <c r="E127" i="3" s="1"/>
  <c r="B127" i="3" s="1"/>
  <c r="H127" i="3"/>
  <c r="G128" i="3"/>
  <c r="E128" i="3" s="1"/>
  <c r="H128" i="3"/>
  <c r="G129" i="3"/>
  <c r="H129" i="3"/>
  <c r="E129" i="3"/>
  <c r="B129" i="3" s="1"/>
  <c r="G130" i="3"/>
  <c r="H130" i="3"/>
  <c r="E130" i="3" s="1"/>
  <c r="B130" i="3" s="1"/>
  <c r="G131" i="3"/>
  <c r="E131" i="3" s="1"/>
  <c r="H131" i="3"/>
  <c r="G132" i="3"/>
  <c r="H132" i="3"/>
  <c r="G133" i="3"/>
  <c r="H133" i="3"/>
  <c r="E133" i="3"/>
  <c r="B133" i="3" s="1"/>
  <c r="G134" i="3"/>
  <c r="H134" i="3"/>
  <c r="E134" i="3" s="1"/>
  <c r="B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T158" i="3"/>
  <c r="G162" i="3"/>
  <c r="E162" i="3" s="1"/>
  <c r="B162" i="3" s="1"/>
  <c r="G164" i="3"/>
  <c r="E164" i="3" s="1"/>
  <c r="G166" i="3"/>
  <c r="E166" i="3" s="1"/>
  <c r="B166" i="3" s="1"/>
  <c r="G212" i="3"/>
  <c r="H212" i="3"/>
  <c r="G260" i="3"/>
  <c r="H260" i="3"/>
  <c r="G263" i="3"/>
  <c r="E263" i="3" s="1"/>
  <c r="B263" i="3" s="1"/>
  <c r="H263" i="3"/>
  <c r="G264" i="3"/>
  <c r="H264" i="3"/>
  <c r="E264" i="3" s="1"/>
  <c r="B264" i="3" s="1"/>
  <c r="G265" i="3"/>
  <c r="H265" i="3"/>
  <c r="E265" i="3" s="1"/>
  <c r="B265" i="3" s="1"/>
  <c r="G268" i="3"/>
  <c r="H268" i="3"/>
  <c r="E268" i="3"/>
  <c r="G269" i="3"/>
  <c r="H269" i="3"/>
  <c r="E269" i="3" s="1"/>
  <c r="B269" i="3" s="1"/>
  <c r="G270" i="3"/>
  <c r="E270" i="3" s="1"/>
  <c r="H270" i="3"/>
  <c r="G271" i="3"/>
  <c r="H271" i="3"/>
  <c r="G272" i="3"/>
  <c r="H272" i="3"/>
  <c r="E272" i="3"/>
  <c r="G273" i="3"/>
  <c r="H273" i="3"/>
  <c r="E273" i="3" s="1"/>
  <c r="B273" i="3" s="1"/>
  <c r="G274" i="3"/>
  <c r="E274" i="3" s="1"/>
  <c r="H274" i="3"/>
  <c r="G275" i="3"/>
  <c r="E275" i="3" s="1"/>
  <c r="H275" i="3"/>
  <c r="G276" i="3"/>
  <c r="H276" i="3"/>
  <c r="E276" i="3"/>
  <c r="G277" i="3"/>
  <c r="H277" i="3"/>
  <c r="E277" i="3" s="1"/>
  <c r="B277" i="3" s="1"/>
  <c r="G278" i="3"/>
  <c r="E278" i="3" s="1"/>
  <c r="G279" i="3"/>
  <c r="H279" i="3"/>
  <c r="E279" i="3" s="1"/>
  <c r="B279" i="3" s="1"/>
  <c r="G280" i="3"/>
  <c r="H280" i="3"/>
  <c r="E280" i="3"/>
  <c r="G283" i="3"/>
  <c r="H283" i="3"/>
  <c r="E283" i="3" s="1"/>
  <c r="B283" i="3" s="1"/>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F284" i="3"/>
  <c r="F283" i="3"/>
  <c r="F282" i="3"/>
  <c r="F281" i="3"/>
  <c r="F280" i="3"/>
  <c r="B280" i="3" s="1"/>
  <c r="F279" i="3"/>
  <c r="F278" i="3"/>
  <c r="F277" i="3"/>
  <c r="F276" i="3"/>
  <c r="F275" i="3"/>
  <c r="B275" i="3" s="1"/>
  <c r="F274" i="3"/>
  <c r="B274" i="3" s="1"/>
  <c r="F273" i="3"/>
  <c r="F272" i="3"/>
  <c r="B272" i="3" s="1"/>
  <c r="F271" i="3"/>
  <c r="F270" i="3"/>
  <c r="F269" i="3"/>
  <c r="F268" i="3"/>
  <c r="F267" i="3"/>
  <c r="F266" i="3"/>
  <c r="F261" i="3" s="1"/>
  <c r="F265" i="3"/>
  <c r="F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L208" i="3"/>
  <c r="F208" i="3" s="1"/>
  <c r="B208" i="3" s="1"/>
  <c r="L207" i="3"/>
  <c r="M207" i="3"/>
  <c r="L206" i="3"/>
  <c r="M206" i="3"/>
  <c r="L205" i="3"/>
  <c r="M205" i="3"/>
  <c r="L204" i="3"/>
  <c r="M204" i="3"/>
  <c r="F204" i="3" s="1"/>
  <c r="B204" i="3" s="1"/>
  <c r="L203" i="3"/>
  <c r="M203" i="3"/>
  <c r="L202" i="3"/>
  <c r="M202" i="3"/>
  <c r="L201" i="3"/>
  <c r="M201" i="3"/>
  <c r="L200" i="3"/>
  <c r="M200" i="3"/>
  <c r="F200" i="3"/>
  <c r="B200" i="3" s="1"/>
  <c r="L199" i="3"/>
  <c r="M199" i="3"/>
  <c r="B164" i="3"/>
  <c r="B151" i="3"/>
  <c r="B143" i="3"/>
  <c r="B136" i="3"/>
  <c r="B135" i="3"/>
  <c r="B131" i="3"/>
  <c r="B128" i="3"/>
  <c r="B123" i="3"/>
  <c r="B120" i="3"/>
  <c r="B119" i="3"/>
  <c r="B115" i="3"/>
  <c r="B112" i="3"/>
  <c r="B107" i="3"/>
  <c r="B104" i="3"/>
  <c r="B103" i="3"/>
  <c r="B99" i="3"/>
  <c r="B96" i="3"/>
  <c r="B95" i="3"/>
  <c r="B91" i="3"/>
  <c r="B88" i="3"/>
  <c r="B87" i="3"/>
  <c r="B83" i="3"/>
  <c r="B79" i="3"/>
  <c r="B75" i="3"/>
  <c r="B71" i="3"/>
  <c r="B63" i="3"/>
  <c r="B59" i="3"/>
  <c r="B55" i="3"/>
  <c r="B51" i="3"/>
  <c r="B28" i="3"/>
  <c r="L7" i="3"/>
  <c r="F7" i="3" s="1"/>
  <c r="F4" i="3" s="1"/>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D75" i="27"/>
  <c r="C1040" i="3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H19" i="37" s="1"/>
  <c r="D35" i="1"/>
  <c r="C25" i="37" s="1"/>
  <c r="D43" i="1"/>
  <c r="C33" i="37" s="1"/>
  <c r="D46" i="1"/>
  <c r="C36" i="37" s="1"/>
  <c r="D13" i="1"/>
  <c r="C3"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147" i="1"/>
  <c r="C137" i="37" s="1"/>
  <c r="D303" i="1"/>
  <c r="C292" i="37" s="1"/>
  <c r="D307" i="1"/>
  <c r="C296" i="37" s="1"/>
  <c r="D315" i="1"/>
  <c r="C304" i="37" s="1"/>
  <c r="H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20" i="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7" i="1"/>
  <c r="F76" i="1"/>
  <c r="F75" i="1"/>
  <c r="F73" i="1"/>
  <c r="F72" i="1"/>
  <c r="F71" i="1"/>
  <c r="F70" i="1"/>
  <c r="F69" i="1"/>
  <c r="F67" i="1"/>
  <c r="F66" i="1"/>
  <c r="F65" i="1"/>
  <c r="F64" i="1"/>
  <c r="F63" i="1"/>
  <c r="F62" i="1"/>
  <c r="F61" i="1"/>
  <c r="F59" i="1"/>
  <c r="F58"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011" i="37" l="1"/>
  <c r="G980" i="37"/>
  <c r="G1225" i="37"/>
  <c r="G1221" i="37"/>
  <c r="F247" i="27"/>
  <c r="E235" i="27"/>
  <c r="D1200" i="37" s="1"/>
  <c r="F236" i="27"/>
  <c r="E285" i="3"/>
  <c r="B285" i="3" s="1"/>
  <c r="H1148" i="37"/>
  <c r="G1142" i="37"/>
  <c r="F140" i="27"/>
  <c r="F76" i="27"/>
  <c r="F69" i="27"/>
  <c r="H994" i="37"/>
  <c r="G986" i="37"/>
  <c r="G1559" i="37"/>
  <c r="G1560" i="37"/>
  <c r="G1557" i="37"/>
  <c r="E30" i="3"/>
  <c r="B30" i="3" s="1"/>
  <c r="G1496" i="37"/>
  <c r="G1495" i="37"/>
  <c r="H1489" i="37"/>
  <c r="G1476" i="37"/>
  <c r="H1473" i="37"/>
  <c r="F292" i="3"/>
  <c r="H367" i="37"/>
  <c r="F209" i="3"/>
  <c r="B209" i="3" s="1"/>
  <c r="E47" i="3"/>
  <c r="B47" i="3" s="1"/>
  <c r="H181" i="37"/>
  <c r="F177" i="1"/>
  <c r="F167" i="1"/>
  <c r="H159" i="37"/>
  <c r="E39" i="3"/>
  <c r="B39" i="3" s="1"/>
  <c r="H76" i="37"/>
  <c r="F80" i="1"/>
  <c r="H73" i="37"/>
  <c r="E35" i="3"/>
  <c r="B35" i="3" s="1"/>
  <c r="E31" i="3"/>
  <c r="B31" i="3" s="1"/>
  <c r="F201" i="3"/>
  <c r="B201" i="3" s="1"/>
  <c r="G1209" i="37"/>
  <c r="G1056" i="37"/>
  <c r="G1007" i="37"/>
  <c r="D18" i="27"/>
  <c r="C983" i="37" s="1"/>
  <c r="G989" i="37"/>
  <c r="G988" i="37"/>
  <c r="G981" i="37"/>
  <c r="G365" i="37"/>
  <c r="G363" i="37"/>
  <c r="G351" i="37"/>
  <c r="D204" i="1"/>
  <c r="C194" i="37" s="1"/>
  <c r="F196" i="1"/>
  <c r="E46" i="3"/>
  <c r="B46" i="3" s="1"/>
  <c r="F205" i="3"/>
  <c r="B205" i="3" s="1"/>
  <c r="F185" i="1"/>
  <c r="D160" i="1"/>
  <c r="F138" i="1"/>
  <c r="E34" i="3"/>
  <c r="B34" i="3" s="1"/>
  <c r="F68" i="1"/>
  <c r="E29" i="3"/>
  <c r="B29" i="3" s="1"/>
  <c r="F57" i="1"/>
  <c r="E260" i="3"/>
  <c r="F351" i="1"/>
  <c r="F405" i="1"/>
  <c r="F421" i="1"/>
  <c r="F424" i="1"/>
  <c r="F430" i="1"/>
  <c r="F510" i="1"/>
  <c r="F522" i="1"/>
  <c r="F528" i="1"/>
  <c r="F577" i="1"/>
  <c r="F584" i="1"/>
  <c r="F590" i="1"/>
  <c r="F608" i="1"/>
  <c r="F620" i="1"/>
  <c r="F632" i="1"/>
  <c r="E314" i="1"/>
  <c r="D303" i="37" s="1"/>
  <c r="E141" i="1"/>
  <c r="D131" i="37" s="1"/>
  <c r="H273" i="37"/>
  <c r="E257" i="1"/>
  <c r="D247" i="37" s="1"/>
  <c r="E532" i="1"/>
  <c r="D520" i="37" s="1"/>
  <c r="D647" i="1"/>
  <c r="C635" i="37" s="1"/>
  <c r="D347" i="1"/>
  <c r="C336" i="37" s="1"/>
  <c r="D302" i="1"/>
  <c r="D134" i="1"/>
  <c r="H64" i="37"/>
  <c r="H50" i="37"/>
  <c r="G179" i="3"/>
  <c r="E179" i="3" s="1"/>
  <c r="B179" i="3" s="1"/>
  <c r="D518" i="1"/>
  <c r="C506" i="37" s="1"/>
  <c r="G481" i="37"/>
  <c r="D462" i="1"/>
  <c r="D223" i="1"/>
  <c r="H162" i="37"/>
  <c r="D628" i="1"/>
  <c r="G541" i="37"/>
  <c r="F51" i="27"/>
  <c r="E92" i="27"/>
  <c r="D1058" i="37"/>
  <c r="E123" i="27"/>
  <c r="D1088" i="37" s="1"/>
  <c r="G1089" i="37"/>
  <c r="F131" i="27"/>
  <c r="E175" i="27"/>
  <c r="H284" i="3" s="1"/>
  <c r="F195" i="27"/>
  <c r="F239" i="27"/>
  <c r="D13" i="33"/>
  <c r="C1425" i="37" s="1"/>
  <c r="D136" i="36"/>
  <c r="C1411" i="37" s="1"/>
  <c r="E96" i="36"/>
  <c r="D1371" i="37" s="1"/>
  <c r="D96" i="36"/>
  <c r="E42" i="36"/>
  <c r="D1317" i="37" s="1"/>
  <c r="D42" i="36"/>
  <c r="E12" i="36"/>
  <c r="D12" i="36"/>
  <c r="C1287" i="37" s="1"/>
  <c r="D30" i="30"/>
  <c r="C1486" i="37" s="1"/>
  <c r="K59" i="42"/>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G1443" i="37"/>
  <c r="G1439" i="37"/>
  <c r="I1439" i="37" s="1"/>
  <c r="G1437" i="37"/>
  <c r="I1437" i="37" s="1"/>
  <c r="G1435" i="37"/>
  <c r="I1435" i="37" s="1"/>
  <c r="G1403" i="37"/>
  <c r="G1401" i="37"/>
  <c r="G1389" i="37"/>
  <c r="G1379" i="37"/>
  <c r="G1377" i="37"/>
  <c r="G1362" i="37"/>
  <c r="G1360" i="37"/>
  <c r="G1358" i="37"/>
  <c r="G1346" i="37"/>
  <c r="G1344" i="37"/>
  <c r="G1334" i="37"/>
  <c r="G1330" i="37"/>
  <c r="G1328" i="37"/>
  <c r="G1326" i="37"/>
  <c r="G1315" i="37"/>
  <c r="G223" i="37"/>
  <c r="H1295" i="37"/>
  <c r="I7" i="3"/>
  <c r="G5" i="3"/>
  <c r="E5" i="3" s="1"/>
  <c r="B5" i="3" s="1"/>
  <c r="H1513" i="37"/>
  <c r="H1517" i="37"/>
  <c r="H1533" i="37"/>
  <c r="H1537" i="37"/>
  <c r="H1553" i="37"/>
  <c r="G1558" i="37"/>
  <c r="G1554" i="37"/>
  <c r="G1552" i="37"/>
  <c r="G1550" i="37"/>
  <c r="G1548" i="37"/>
  <c r="G1547" i="37"/>
  <c r="G1544" i="37"/>
  <c r="G1543" i="37"/>
  <c r="G1538" i="37"/>
  <c r="G1534" i="37"/>
  <c r="G1530" i="37"/>
  <c r="G1527" i="37"/>
  <c r="G1523" i="37"/>
  <c r="G1518" i="37"/>
  <c r="G1514" i="37"/>
  <c r="G1512" i="37"/>
  <c r="G1506" i="37"/>
  <c r="G1498" i="37"/>
  <c r="G1494" i="37"/>
  <c r="G1492" i="37"/>
  <c r="G1491" i="37"/>
  <c r="G1482" i="37"/>
  <c r="G1478" i="37"/>
  <c r="G1444" i="37"/>
  <c r="I1444" i="37" s="1"/>
  <c r="G1440" i="37"/>
  <c r="I1440" i="37" s="1"/>
  <c r="G1438" i="37"/>
  <c r="I1438" i="37" s="1"/>
  <c r="G1436" i="37"/>
  <c r="I1436" i="37" s="1"/>
  <c r="G1434" i="37"/>
  <c r="I1434" i="37" s="1"/>
  <c r="I1431" i="37"/>
  <c r="I1429" i="37"/>
  <c r="I1427" i="37"/>
  <c r="G1402" i="37"/>
  <c r="G1380" i="37"/>
  <c r="G1378" i="37"/>
  <c r="G1347" i="37"/>
  <c r="G1345"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910" i="37"/>
  <c r="G908" i="37"/>
  <c r="G906"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G622" i="37"/>
  <c r="G607" i="37"/>
  <c r="G605" i="37"/>
  <c r="G1313" i="37"/>
  <c r="G1311" i="37"/>
  <c r="G1294" i="37"/>
  <c r="G1290"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595"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H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F84" i="2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12" i="37"/>
  <c r="G70" i="37"/>
  <c r="G64" i="37"/>
  <c r="G58" i="37"/>
  <c r="G50" i="37"/>
  <c r="G19" i="37"/>
  <c r="F18" i="27" l="1"/>
  <c r="F204" i="1"/>
  <c r="F160" i="1"/>
  <c r="F147" i="1"/>
  <c r="G132" i="37"/>
  <c r="I1448" i="37"/>
  <c r="I1451" i="37"/>
  <c r="I1455" i="37"/>
  <c r="I1461" i="37"/>
  <c r="I1464" i="37"/>
  <c r="E24" i="3"/>
  <c r="B24" i="3" s="1"/>
  <c r="G1049" i="37"/>
  <c r="H635" i="37"/>
  <c r="D1287" i="37"/>
  <c r="K47" i="42"/>
  <c r="C124" i="37"/>
  <c r="F134" i="1"/>
  <c r="E163" i="3"/>
  <c r="B163" i="3" s="1"/>
  <c r="H1104" i="37"/>
  <c r="C1317" i="37"/>
  <c r="F42" i="36"/>
  <c r="C1371" i="37"/>
  <c r="F96" i="36"/>
  <c r="C213" i="37"/>
  <c r="H213" i="37" s="1"/>
  <c r="F223" i="1"/>
  <c r="C291" i="37"/>
  <c r="F302" i="1"/>
  <c r="C1423" i="37"/>
  <c r="J51" i="42"/>
  <c r="F148" i="36"/>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C222" i="37"/>
  <c r="F232" i="1"/>
  <c r="C1457" i="37"/>
  <c r="J54" i="42"/>
  <c r="G585" i="37"/>
  <c r="H585" i="37"/>
  <c r="G1168" i="37"/>
  <c r="H1168" i="37"/>
  <c r="E74" i="27"/>
  <c r="G616" i="37"/>
  <c r="H616" i="37"/>
  <c r="H1371" i="37" l="1"/>
  <c r="G1371" i="37"/>
  <c r="H1317" i="37"/>
  <c r="G1317" i="37"/>
  <c r="H124" i="37"/>
  <c r="G124" i="37"/>
  <c r="H1287" i="37"/>
  <c r="G1287" i="37"/>
  <c r="G295" i="3"/>
  <c r="E295" i="3" s="1"/>
  <c r="B295" i="3" s="1"/>
  <c r="G1116"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C4" i="30" s="1"/>
  <c r="L37" i="37" s="1"/>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978" i="37" l="1"/>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L2" i="37" s="1"/>
  <c r="G637" i="37"/>
  <c r="H637" i="37"/>
  <c r="G636" i="37"/>
  <c r="H636" i="37"/>
  <c r="K2" i="37" l="1"/>
  <c r="J3" i="3"/>
  <c r="I9" i="3" s="1"/>
  <c r="K29" i="37"/>
  <c r="L28" i="37"/>
  <c r="G8" i="3" s="1"/>
  <c r="E8" i="3" s="1"/>
  <c r="B8" i="3" s="1"/>
  <c r="H158" i="3"/>
  <c r="G158" i="3" s="1"/>
  <c r="E158" i="3" s="1"/>
  <c r="E4" i="1"/>
  <c r="L33" i="37" s="1"/>
  <c r="L29" i="37"/>
  <c r="H6" i="3"/>
  <c r="E6" i="3" s="1"/>
  <c r="K28" i="37"/>
  <c r="J6" i="42"/>
  <c r="I21" i="3" l="1"/>
  <c r="K16" i="3"/>
  <c r="H21" i="3"/>
  <c r="J15" i="3"/>
  <c r="I16" i="3"/>
  <c r="K14" i="3"/>
  <c r="L19" i="3"/>
  <c r="J11" i="3"/>
  <c r="K11" i="3"/>
  <c r="I12" i="3"/>
  <c r="H22" i="3"/>
  <c r="M19" i="3"/>
  <c r="J12" i="3"/>
  <c r="J16" i="3"/>
  <c r="G19" i="3"/>
  <c r="H20" i="3"/>
  <c r="G21" i="3"/>
  <c r="K13" i="3"/>
  <c r="K9" i="3"/>
  <c r="J14" i="3"/>
  <c r="E14" i="3" s="1"/>
  <c r="B14" i="3" s="1"/>
  <c r="I10" i="3"/>
  <c r="J10" i="3"/>
  <c r="M20" i="3"/>
  <c r="H19" i="3"/>
  <c r="M259" i="3"/>
  <c r="L259" i="3"/>
  <c r="G20" i="3"/>
  <c r="L20" i="3"/>
  <c r="G22" i="3"/>
  <c r="E22" i="3" s="1"/>
  <c r="B22" i="3" s="1"/>
  <c r="J17" i="3"/>
  <c r="J21" i="3"/>
  <c r="J13" i="3"/>
  <c r="J9" i="3"/>
  <c r="E9" i="3" s="1"/>
  <c r="B9" i="3" s="1"/>
  <c r="K17" i="3"/>
  <c r="K15" i="3"/>
  <c r="K12" i="3"/>
  <c r="K10" i="3"/>
  <c r="I17" i="3"/>
  <c r="E17" i="3" s="1"/>
  <c r="B17" i="3" s="1"/>
  <c r="I15" i="3"/>
  <c r="I13" i="3"/>
  <c r="E13" i="3" s="1"/>
  <c r="B13" i="3" s="1"/>
  <c r="I11" i="3"/>
  <c r="B6" i="3"/>
  <c r="B158" i="3"/>
  <c r="E23" i="3"/>
  <c r="E25" i="42" s="1"/>
  <c r="E16" i="3" l="1"/>
  <c r="B16" i="3" s="1"/>
  <c r="E15" i="3"/>
  <c r="B15" i="3" s="1"/>
  <c r="E11" i="3"/>
  <c r="B11" i="3" s="1"/>
  <c r="E10" i="3"/>
  <c r="B10" i="3" s="1"/>
  <c r="E20" i="3"/>
  <c r="E19" i="3"/>
  <c r="F19" i="3"/>
  <c r="E21" i="3"/>
  <c r="B21" i="3" s="1"/>
  <c r="E12" i="3"/>
  <c r="B12" i="3" s="1"/>
  <c r="F20" i="3"/>
  <c r="F259" i="3"/>
  <c r="F23" i="3" s="1"/>
  <c r="B19" i="3" l="1"/>
  <c r="B20" i="3"/>
  <c r="F18" i="3"/>
  <c r="F3" i="3" s="1"/>
  <c r="E4" i="3"/>
  <c r="E18" i="3"/>
  <c r="B259" i="3"/>
  <c r="E3" i="3" l="1"/>
  <c r="K30" i="37" s="1"/>
  <c r="L30" i="37" l="1"/>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<sst xmlns="http://schemas.openxmlformats.org/spreadsheetml/2006/main" count="4758" uniqueCount="4302">
  <si>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</si>
  <si>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</si>
  <si>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</si>
  <si>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</si>
  <si>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</si>
  <si>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</si>
  <si>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</si>
  <si>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</si>
  <si>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</si>
  <si>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</si>
  <si>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</si>
  <si>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</si>
  <si>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</si>
  <si>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</si>
  <si>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</si>
  <si>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</si>
  <si>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</si>
  <si>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</si>
  <si>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</si>
  <si>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</si>
  <si>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</si>
  <si>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</si>
  <si>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</si>
  <si>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</si>
  <si>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</si>
  <si>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</si>
  <si>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</si>
  <si>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</si>
  <si>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</si>
  <si>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</si>
  <si>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</si>
  <si>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</si>
  <si>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</si>
  <si>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</si>
  <si>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</si>
  <si>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</si>
  <si>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</si>
  <si>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</si>
  <si>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</si>
  <si>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</si>
  <si>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</si>
  <si>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</si>
  <si>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</si>
  <si>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</si>
  <si>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</si>
  <si>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</si>
  <si>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</si>
  <si>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</si>
  <si>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</si>
  <si>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</si>
  <si>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</si>
  <si>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</si>
  <si>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</si>
  <si>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</si>
  <si>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</si>
  <si>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</si>
  <si>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</si>
  <si>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</si>
  <si>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</si>
  <si>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</si>
  <si>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</si>
  <si>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</si>
  <si>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</si>
  <si>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</si>
  <si>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</si>
  <si>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</si>
  <si>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</si>
  <si>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</si>
  <si>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</si>
  <si>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</si>
  <si>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</si>
  <si>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</si>
  <si>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</si>
  <si>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</si>
  <si>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</si>
  <si>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</si>
  <si>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</si>
  <si>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</si>
  <si>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</si>
  <si>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</si>
  <si>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</si>
  <si>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</si>
  <si>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</si>
  <si>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</si>
  <si>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</si>
  <si>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</si>
  <si>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</si>
  <si>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</si>
  <si>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</si>
  <si>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</si>
  <si>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</si>
  <si>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</si>
  <si>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</si>
  <si>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</si>
  <si>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</si>
  <si>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</si>
  <si>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</si>
  <si>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</si>
  <si>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</si>
  <si>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</si>
  <si>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</si>
  <si>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</si>
  <si>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</si>
  <si>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</si>
  <si>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</si>
  <si>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</si>
  <si>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</si>
  <si>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</si>
  <si>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</si>
  <si>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</si>
  <si>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</si>
  <si>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</si>
  <si>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</si>
  <si>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</si>
  <si>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</si>
  <si>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</si>
  <si>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</si>
  <si>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</si>
  <si>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</si>
  <si>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</si>
  <si>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</si>
  <si>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</si>
  <si>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</si>
  <si>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</si>
  <si>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</si>
  <si>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</si>
  <si>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</si>
  <si>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</si>
  <si>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</si>
  <si>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</si>
  <si>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</si>
  <si>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</si>
  <si>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</si>
  <si>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</si>
  <si>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</si>
  <si>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</si>
  <si>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</si>
  <si>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</si>
  <si>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</si>
  <si>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</si>
  <si>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</si>
  <si>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</si>
  <si>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</si>
  <si>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</si>
  <si>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</si>
  <si>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</si>
  <si>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</si>
  <si>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</si>
  <si>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</si>
  <si>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</si>
  <si>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</si>
  <si>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</si>
  <si>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</si>
  <si>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</si>
  <si>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</si>
  <si>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</si>
  <si>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</si>
  <si>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</si>
  <si>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</si>
  <si>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</si>
  <si>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</si>
  <si>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</si>
  <si>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</si>
  <si>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</si>
  <si>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</si>
  <si>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</si>
  <si>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</si>
  <si>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</si>
  <si>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</si>
  <si>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</si>
  <si>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</si>
  <si>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</si>
  <si>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</si>
  <si>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</si>
  <si>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</si>
  <si>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</si>
  <si>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</si>
  <si>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</si>
  <si>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</si>
  <si>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</si>
  <si>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</si>
  <si>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</si>
  <si>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</si>
  <si>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</si>
  <si>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</si>
  <si>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</si>
  <si>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</si>
  <si>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</si>
  <si>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</si>
  <si>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</si>
  <si>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</si>
  <si>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</si>
  <si>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</si>
  <si>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</si>
  <si>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</si>
  <si>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</si>
  <si>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</si>
  <si>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</si>
  <si>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</si>
  <si>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</si>
  <si>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</si>
  <si>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</si>
  <si>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</si>
  <si>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</si>
  <si>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</si>
  <si>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</si>
  <si>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</si>
  <si>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</si>
  <si>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</si>
  <si>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</si>
  <si>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</si>
  <si>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</si>
  <si>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</si>
  <si>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</si>
  <si>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</si>
  <si>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</si>
  <si>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</si>
  <si>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</si>
  <si>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</si>
  <si>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</si>
  <si>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</si>
  <si>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</si>
  <si>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</si>
  <si>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</si>
  <si>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</si>
  <si>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</si>
  <si>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</si>
  <si>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</si>
  <si>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</si>
  <si>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</si>
  <si>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</si>
  <si>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</si>
  <si>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</si>
  <si>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</si>
  <si>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</si>
  <si>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</si>
  <si>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</si>
  <si>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</si>
  <si>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</si>
  <si>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</si>
  <si>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</si>
  <si>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</si>
  <si>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</si>
  <si>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</si>
  <si>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</si>
  <si>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</si>
  <si>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</si>
  <si>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</si>
  <si>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</si>
  <si>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</si>
  <si>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</si>
  <si>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</si>
  <si>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</si>
  <si>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</si>
  <si>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</si>
  <si>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</si>
  <si>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</si>
  <si>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</si>
  <si>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</si>
  <si>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</si>
  <si>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</si>
  <si>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</si>
  <si>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</si>
  <si>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</si>
  <si>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</si>
  <si>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</si>
  <si>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</si>
  <si>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</si>
  <si>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</si>
  <si>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</si>
  <si>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</si>
  <si>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</si>
  <si>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</si>
  <si>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</si>
  <si>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</si>
  <si>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</si>
  <si>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</si>
  <si>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</si>
  <si>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</si>
  <si>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</si>
  <si>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</si>
  <si>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</si>
  <si>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</si>
  <si>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</si>
  <si>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</si>
  <si>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</si>
  <si>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</si>
  <si>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</si>
  <si>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</si>
  <si>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</si>
  <si>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</si>
  <si>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</si>
  <si>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</si>
  <si>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</si>
  <si>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</si>
  <si>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</si>
  <si>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</si>
  <si>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</si>
  <si>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</si>
  <si>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</si>
  <si>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</si>
  <si>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</si>
  <si>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</si>
  <si>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</si>
  <si>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</si>
  <si>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</si>
  <si>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</si>
  <si>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</si>
  <si>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</si>
  <si>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</si>
  <si>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</si>
  <si>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</si>
  <si>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</si>
  <si>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</si>
  <si>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</si>
  <si>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</si>
  <si>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</si>
  <si>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</si>
  <si>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</si>
  <si>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</si>
  <si>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</si>
  <si>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</si>
  <si>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</si>
  <si>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</si>
  <si>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</si>
  <si>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</si>
  <si>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</si>
  <si>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</si>
  <si>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</si>
  <si>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</si>
  <si>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</si>
  <si>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</si>
  <si>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</si>
  <si>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</si>
  <si>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</si>
  <si>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</si>
  <si>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</si>
  <si>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</si>
  <si>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</si>
  <si>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</si>
  <si>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</si>
  <si>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</si>
  <si>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</si>
  <si>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</si>
  <si>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</si>
  <si>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</si>
  <si>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</si>
  <si>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</si>
  <si>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</si>
  <si>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</si>
  <si>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</si>
  <si>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</si>
  <si>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</si>
  <si>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</si>
  <si>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</si>
  <si>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</si>
  <si>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</si>
  <si>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</si>
  <si>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</si>
  <si>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</si>
  <si>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</si>
  <si>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</si>
  <si>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</si>
  <si>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</si>
  <si>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</si>
  <si>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</si>
  <si>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</si>
  <si>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</si>
  <si>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</si>
  <si>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</si>
  <si>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</si>
  <si>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</si>
  <si>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</si>
  <si>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</si>
  <si>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</si>
  <si>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</si>
  <si>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</si>
  <si>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</si>
  <si>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</si>
  <si>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</si>
  <si>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</si>
  <si>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</si>
  <si>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</si>
  <si>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</si>
  <si>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</si>
  <si>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</si>
  <si>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</si>
  <si>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</si>
  <si>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</si>
  <si>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</si>
  <si>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</si>
  <si>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</si>
  <si>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</si>
  <si>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</si>
  <si>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</si>
  <si>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</si>
  <si>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</si>
  <si>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</si>
  <si>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</si>
  <si>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</si>
  <si>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</si>
  <si>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</si>
  <si>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</si>
  <si>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</si>
  <si>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</si>
  <si>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</si>
  <si>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</si>
  <si>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</si>
  <si>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</si>
  <si>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</si>
  <si>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</si>
  <si>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</si>
  <si>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</si>
  <si>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</si>
  <si>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</si>
  <si>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</si>
  <si>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</si>
  <si>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</si>
  <si>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</si>
  <si>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</si>
  <si>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</si>
  <si>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</si>
  <si>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</si>
  <si>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</si>
  <si>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</si>
  <si>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</si>
  <si>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</si>
  <si>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</si>
  <si>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</si>
  <si>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</si>
  <si>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</si>
  <si>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</si>
  <si>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</si>
  <si>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</si>
  <si>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</si>
  <si>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</si>
  <si>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</si>
  <si>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</si>
  <si>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</si>
  <si>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</si>
  <si>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</si>
  <si>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</si>
  <si>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</si>
  <si>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</si>
  <si>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</si>
  <si>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</si>
  <si>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</si>
  <si>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</si>
  <si>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</si>
  <si>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</si>
  <si>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</si>
  <si>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</si>
  <si>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</si>
  <si>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</si>
  <si>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</si>
  <si>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</si>
  <si>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</si>
  <si>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</si>
  <si>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</si>
  <si>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</si>
  <si>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</si>
  <si>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</si>
  <si>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</si>
  <si>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</si>
  <si>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</si>
  <si>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</si>
  <si>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</si>
  <si>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</si>
  <si>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</si>
  <si>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</si>
  <si>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</si>
  <si>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</si>
  <si>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</si>
  <si>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</si>
  <si>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</si>
  <si>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</si>
  <si>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</si>
  <si>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</si>
  <si>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</si>
  <si>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</si>
  <si>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</si>
  <si>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</si>
  <si>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</si>
  <si>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</si>
  <si>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</si>
  <si>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</si>
  <si>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</si>
  <si>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</si>
  <si>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</si>
  <si>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</si>
  <si>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</si>
  <si>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</si>
  <si>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</si>
  <si>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</si>
  <si>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</si>
  <si>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</si>
  <si>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</si>
  <si>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</si>
  <si>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</si>
  <si>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</si>
  <si>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</si>
  <si>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</si>
  <si>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</si>
  <si>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</si>
  <si>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</si>
  <si>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</si>
  <si>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</si>
  <si>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</si>
  <si>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</si>
  <si>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</si>
  <si>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</si>
  <si>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</si>
  <si>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</si>
  <si>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</si>
  <si>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</si>
  <si>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</si>
  <si>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</si>
  <si>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</si>
  <si>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</si>
  <si>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</si>
  <si>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</si>
  <si>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</si>
  <si>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</si>
  <si>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</si>
  <si>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</si>
  <si>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</si>
  <si>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</si>
  <si>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</si>
  <si>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</si>
  <si>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</si>
  <si>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</si>
  <si>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</si>
  <si>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</si>
  <si>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</si>
  <si>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</si>
  <si>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</si>
  <si>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</si>
  <si>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</si>
  <si>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</si>
  <si>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</si>
  <si>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</si>
  <si>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</si>
  <si>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</si>
  <si>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</si>
  <si>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</si>
  <si>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</si>
  <si>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</si>
  <si>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</si>
  <si>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</si>
  <si>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</si>
  <si>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</si>
  <si>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</si>
  <si>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</si>
  <si>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</si>
  <si>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</si>
  <si>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</si>
  <si>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</si>
  <si>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</si>
  <si>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</si>
  <si>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</si>
  <si>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</si>
  <si>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</si>
  <si>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</si>
  <si>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</si>
  <si>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</si>
  <si>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</si>
  <si>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</si>
  <si>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</si>
  <si>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</si>
  <si>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</si>
  <si>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</si>
  <si>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</si>
  <si>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</si>
  <si>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</si>
  <si>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</si>
  <si>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</si>
  <si>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</si>
  <si>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</si>
  <si>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</si>
  <si>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</si>
  <si>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</si>
  <si>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</si>
  <si>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</si>
  <si>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</si>
  <si>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</si>
  <si>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</si>
  <si>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</si>
  <si>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</si>
  <si>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</si>
  <si>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</si>
  <si>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</si>
  <si>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</si>
  <si>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</si>
  <si>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</si>
  <si>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</si>
  <si>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</si>
  <si>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</si>
  <si>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</si>
  <si>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</si>
  <si>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</si>
  <si>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</si>
  <si>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</si>
  <si>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</si>
  <si>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</si>
  <si>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</si>
  <si>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</si>
  <si>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</si>
  <si>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</si>
  <si>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</si>
  <si>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</si>
  <si>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</si>
  <si>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</si>
  <si>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</si>
  <si>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</si>
  <si>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</si>
  <si>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</si>
  <si>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</si>
  <si>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</si>
  <si>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</si>
  <si>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</si>
  <si>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</si>
  <si>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</si>
  <si>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</si>
  <si>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</si>
  <si>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</si>
  <si>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</si>
  <si>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</si>
  <si>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</si>
  <si>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</si>
  <si>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</si>
  <si>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</si>
  <si>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</si>
  <si>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</si>
  <si>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</si>
  <si>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</si>
  <si>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</si>
  <si>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</si>
  <si>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</si>
  <si>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</si>
  <si>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</si>
  <si>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</si>
  <si>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</si>
  <si>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</si>
  <si>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</si>
  <si>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</si>
  <si>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</si>
  <si>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</si>
  <si>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</si>
  <si>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</si>
  <si>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</si>
  <si>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</si>
  <si>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</si>
  <si>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</si>
  <si>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</si>
  <si>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</si>
  <si>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</si>
  <si>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</si>
  <si>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</si>
  <si>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</si>
  <si>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</si>
  <si>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</si>
  <si>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</si>
  <si>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</si>
  <si>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</si>
  <si>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</si>
  <si>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</si>
  <si>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</si>
  <si>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</si>
  <si>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</si>
  <si>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</si>
  <si>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</si>
  <si>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</si>
  <si>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</si>
  <si>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</si>
  <si>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</si>
  <si>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</si>
  <si>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</si>
  <si>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</si>
  <si>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</si>
  <si>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</si>
  <si>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</si>
  <si>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</si>
  <si>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</si>
  <si>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</si>
  <si>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</si>
  <si>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</si>
  <si>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</si>
  <si>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</si>
  <si>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</si>
  <si>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</si>
  <si>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</si>
  <si>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</si>
  <si>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</si>
  <si>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</si>
  <si>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</si>
  <si>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</si>
  <si>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</si>
  <si>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</si>
  <si>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</si>
  <si>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</si>
  <si>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</si>
  <si>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</si>
  <si>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</si>
  <si>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</si>
  <si>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</si>
  <si>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</si>
  <si>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</si>
  <si>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</si>
  <si>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</si>
  <si>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</si>
  <si>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</si>
  <si>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</si>
  <si>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</si>
  <si>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</si>
  <si>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</si>
  <si>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</si>
  <si>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</si>
  <si>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</si>
  <si>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</si>
  <si>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</si>
  <si>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</si>
  <si>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</si>
  <si>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</si>
  <si>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</si>
  <si>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</si>
  <si>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</si>
  <si>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</si>
  <si>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</si>
  <si>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</si>
  <si>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</si>
  <si>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</si>
  <si>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</si>
  <si>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</si>
  <si>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</si>
  <si>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</si>
  <si>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</si>
  <si>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</si>
  <si>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</si>
  <si>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</si>
  <si>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</si>
  <si>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</si>
  <si>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</si>
  <si>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</si>
  <si>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</si>
  <si>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</si>
  <si>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</si>
  <si>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</si>
  <si>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</si>
  <si>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</si>
  <si>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</si>
  <si>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</si>
  <si>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</si>
  <si>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</si>
  <si>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</si>
  <si>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</si>
  <si>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</si>
  <si>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</si>
  <si>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</si>
  <si>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</si>
  <si>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</si>
  <si>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</si>
  <si>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</si>
  <si>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</si>
  <si>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</si>
  <si>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</si>
  <si>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</si>
  <si>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</si>
  <si>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</si>
  <si>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</si>
  <si>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</si>
  <si>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</si>
  <si>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</si>
  <si>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</si>
  <si>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</si>
  <si>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</si>
  <si>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</si>
  <si>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</si>
  <si>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</si>
  <si>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</si>
  <si>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</si>
  <si>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</si>
  <si>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</si>
  <si>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</si>
  <si>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</si>
  <si>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</si>
  <si>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</si>
  <si>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</si>
  <si>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</si>
  <si>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</si>
  <si>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</si>
  <si>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</si>
  <si>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</si>
  <si>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</si>
  <si>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</si>
  <si>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</si>
  <si>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</si>
  <si>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</si>
  <si>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</si>
  <si>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</si>
  <si>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</si>
  <si>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</si>
  <si>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</si>
  <si>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</si>
  <si>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</si>
  <si>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</si>
  <si>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</si>
  <si>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</si>
  <si>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</si>
  <si>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</si>
  <si>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</si>
  <si>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</si>
  <si>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</si>
  <si>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</si>
  <si>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</si>
  <si>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</si>
  <si>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</si>
  <si>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</si>
  <si>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</si>
  <si>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</si>
  <si>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</si>
  <si>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</si>
  <si>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</si>
  <si>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</si>
  <si>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</si>
  <si>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</si>
  <si>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</si>
  <si>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</si>
  <si>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</si>
  <si>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</si>
  <si>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</si>
  <si>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</si>
  <si>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</si>
  <si>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</si>
  <si>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</si>
  <si>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</si>
  <si>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</si>
  <si>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</si>
  <si>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</si>
  <si>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</si>
  <si>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</si>
  <si>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</si>
  <si>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</si>
  <si>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</si>
  <si>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</si>
  <si>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</si>
  <si>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</si>
  <si>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</si>
  <si>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</si>
  <si>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</si>
  <si>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</si>
  <si>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</si>
  <si>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</si>
  <si>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</si>
  <si>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</si>
  <si>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</si>
  <si>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</si>
  <si>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</si>
  <si>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</si>
  <si>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</si>
  <si>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</si>
  <si>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</si>
  <si>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</si>
  <si>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</si>
  <si>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</si>
  <si>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</si>
  <si>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</si>
  <si>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</si>
  <si>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</si>
  <si>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</si>
  <si>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</si>
  <si>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</si>
  <si>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</si>
  <si>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</si>
  <si>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</si>
  <si>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</si>
  <si>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</si>
  <si>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</si>
  <si>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</si>
  <si>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</si>
  <si>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</si>
  <si>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</si>
  <si>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</si>
  <si>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</si>
  <si>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</si>
  <si>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</si>
  <si>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</si>
  <si>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</si>
  <si>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</si>
  <si>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</si>
  <si>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</si>
  <si>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</si>
  <si>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</si>
  <si>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</si>
  <si>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</si>
  <si>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</si>
  <si>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</si>
  <si>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</si>
  <si>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</si>
  <si>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</si>
  <si>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</si>
  <si>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</si>
  <si>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</si>
  <si>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</si>
  <si>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</si>
  <si>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</si>
  <si>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</si>
  <si>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</si>
  <si>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</si>
  <si>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</si>
  <si>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</si>
  <si>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</si>
  <si>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</si>
  <si>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</si>
  <si>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</si>
  <si>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</si>
  <si>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</si>
  <si>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</si>
  <si>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</si>
  <si>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</si>
  <si>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</si>
  <si>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</si>
  <si>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</si>
  <si>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</si>
  <si>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</si>
  <si>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</si>
  <si>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</si>
  <si>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</si>
  <si>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</si>
  <si>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</si>
  <si>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</si>
  <si>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</si>
  <si>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</si>
  <si>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</si>
  <si>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</si>
  <si>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</si>
  <si>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</si>
  <si>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</si>
  <si>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</si>
  <si>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</si>
  <si>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</si>
  <si>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</si>
  <si>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</si>
  <si>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</si>
  <si>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</si>
  <si>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</si>
  <si>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</si>
  <si>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</si>
  <si>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</si>
  <si>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</si>
  <si>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</si>
  <si>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</si>
  <si>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</si>
  <si>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</si>
  <si>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</si>
  <si>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</si>
  <si>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</si>
  <si>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</si>
  <si>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</si>
  <si>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</si>
  <si>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</si>
  <si>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</si>
  <si>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</si>
  <si>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</si>
  <si>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</si>
  <si>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</si>
  <si>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</si>
  <si>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</si>
  <si>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</si>
  <si>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</si>
  <si>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</si>
  <si>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</si>
  <si>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</si>
  <si>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</si>
  <si>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</si>
  <si>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</si>
  <si>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</si>
  <si>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</si>
  <si>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</si>
  <si>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</si>
  <si>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</si>
  <si>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</si>
  <si>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</si>
  <si>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</si>
  <si>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</si>
  <si>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</si>
  <si>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</si>
  <si>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</si>
  <si>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</si>
  <si>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</si>
  <si>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</si>
  <si>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</si>
  <si>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</si>
  <si>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</si>
  <si>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</si>
  <si>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</si>
  <si>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</si>
  <si>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</si>
  <si>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</si>
  <si>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</si>
  <si>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</si>
  <si>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</si>
  <si>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</si>
  <si>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</si>
  <si>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</si>
  <si>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</si>
  <si>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</si>
  <si>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</si>
  <si>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</si>
  <si>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</si>
  <si>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</si>
  <si>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</si>
  <si>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</si>
  <si>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</si>
  <si>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</si>
  <si>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</si>
  <si>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</si>
  <si>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</si>
  <si>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</si>
  <si>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</si>
  <si>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</si>
  <si>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</si>
  <si>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</si>
  <si>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</si>
  <si>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</si>
  <si>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</si>
  <si>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</si>
  <si>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</si>
  <si>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</si>
  <si>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</si>
  <si>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</si>
  <si>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</si>
  <si>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</si>
  <si>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</si>
  <si>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</si>
  <si>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</si>
  <si>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</si>
  <si>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</si>
  <si>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</si>
  <si>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</si>
  <si>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</si>
  <si>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</si>
  <si>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</si>
  <si>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</si>
  <si>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</si>
  <si>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</si>
  <si>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</si>
  <si>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</si>
  <si>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</si>
  <si>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</si>
  <si>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</si>
  <si>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</si>
  <si>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</si>
  <si>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</si>
  <si>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</si>
  <si>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</si>
  <si>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</si>
  <si>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</si>
  <si>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</si>
  <si>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</si>
  <si>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</si>
  <si>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</si>
  <si>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</si>
  <si>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</si>
  <si>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</si>
  <si>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</si>
  <si>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</si>
  <si>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</si>
  <si>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</si>
  <si>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</si>
  <si>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</si>
  <si>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</si>
  <si>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</si>
  <si>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</si>
  <si>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</si>
  <si>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</si>
  <si>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</si>
  <si>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</si>
  <si>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</si>
  <si>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</si>
  <si>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</si>
  <si>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</si>
  <si>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</si>
  <si>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</si>
  <si>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</si>
  <si>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</si>
  <si>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</si>
  <si>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</si>
  <si>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</si>
  <si>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</si>
  <si>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</si>
  <si>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</si>
  <si>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</si>
  <si>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</si>
  <si>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</si>
  <si>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</si>
  <si>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</si>
  <si>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</si>
  <si>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</si>
  <si>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</si>
  <si>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</si>
  <si>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</si>
  <si>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</si>
  <si>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</si>
  <si>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</si>
  <si>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</si>
  <si>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</si>
  <si>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</si>
  <si>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</si>
  <si>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</si>
  <si>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</si>
  <si>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</si>
  <si>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</si>
  <si>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</si>
  <si>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</si>
  <si>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</si>
  <si>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</si>
  <si>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</si>
  <si>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</si>
  <si>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</si>
  <si>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</si>
  <si>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</si>
  <si>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</si>
  <si>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</si>
  <si>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</si>
  <si>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</si>
  <si>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</si>
  <si>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</si>
  <si>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</si>
  <si>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</si>
  <si>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</si>
  <si>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</si>
  <si>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</si>
  <si>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</si>
  <si>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</si>
  <si>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</si>
  <si>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</si>
  <si>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</si>
  <si>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</si>
  <si>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</si>
  <si>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</si>
  <si>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</si>
  <si>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</si>
  <si>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</si>
  <si>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</si>
  <si>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</si>
  <si>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</si>
  <si>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</si>
  <si>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</si>
  <si>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</si>
  <si>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</si>
  <si>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</si>
  <si>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</si>
  <si>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</si>
  <si>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</si>
  <si>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</si>
  <si>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</si>
  <si>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</si>
  <si>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</si>
  <si>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</si>
  <si>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</si>
  <si>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</si>
  <si>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</si>
  <si>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</si>
  <si>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</si>
  <si>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</si>
  <si>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</si>
  <si>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</si>
  <si>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</si>
  <si>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</si>
  <si>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</si>
  <si>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</si>
  <si>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</si>
  <si>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</si>
  <si>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</si>
  <si>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</si>
  <si>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</si>
  <si>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</si>
  <si>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</si>
  <si>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</si>
  <si>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</si>
  <si>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</si>
  <si>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</si>
  <si>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</si>
  <si>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</si>
  <si>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</si>
  <si>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</si>
  <si>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</si>
  <si>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</si>
  <si>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</si>
  <si>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</si>
  <si>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</si>
  <si>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</si>
  <si>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</si>
  <si>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</si>
  <si>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</si>
  <si>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</si>
  <si>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</si>
  <si>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</si>
  <si>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</si>
  <si>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</si>
  <si>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</si>
  <si>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</si>
  <si>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</si>
  <si>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</si>
  <si>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</si>
  <si>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</si>
  <si>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</si>
  <si>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</si>
  <si>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</si>
  <si>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</si>
  <si>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</si>
  <si>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</si>
  <si>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</si>
  <si>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</si>
  <si>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</si>
  <si>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</si>
  <si>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</si>
  <si>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</si>
  <si>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</si>
  <si>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</si>
  <si>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</si>
  <si>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</si>
  <si>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</si>
  <si>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</si>
  <si>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</si>
  <si>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</si>
  <si>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</si>
  <si>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</si>
  <si>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</si>
  <si>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</si>
  <si>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</si>
  <si>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</si>
  <si>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</si>
  <si>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</si>
  <si>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</si>
  <si>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</si>
  <si>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</si>
  <si>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</si>
  <si>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</si>
  <si>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</si>
  <si>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</si>
  <si>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</si>
  <si>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</si>
  <si>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</si>
  <si>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</si>
  <si>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</si>
  <si>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</si>
  <si>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</si>
  <si>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</si>
  <si>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</si>
  <si>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</si>
  <si>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</si>
  <si>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</si>
  <si>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</si>
  <si>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</si>
  <si>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</si>
  <si>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</si>
  <si>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</si>
  <si>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</si>
  <si>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</si>
  <si>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</si>
  <si>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</si>
  <si>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</si>
  <si>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</si>
  <si>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</si>
  <si>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</si>
  <si>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</si>
  <si>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</si>
  <si>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</si>
  <si>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</si>
  <si>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</si>
  <si>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</si>
  <si>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</si>
  <si>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</si>
  <si>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</si>
  <si>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</si>
  <si>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</si>
  <si>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</si>
  <si>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</si>
  <si>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</si>
  <si>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</si>
  <si>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</si>
  <si>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</si>
  <si>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</si>
  <si>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</si>
  <si>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</si>
  <si>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</si>
  <si>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</si>
  <si>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</si>
  <si>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</si>
  <si>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</si>
  <si>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</si>
  <si>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</si>
  <si>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</si>
  <si>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</si>
  <si>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</si>
  <si>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</si>
  <si>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</si>
  <si>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</si>
  <si>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</si>
  <si>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</si>
  <si>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</si>
  <si>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</si>
  <si>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</si>
  <si>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</si>
  <si>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</si>
  <si>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</si>
  <si>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</si>
  <si>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</si>
  <si>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</si>
  <si>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</si>
  <si>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</si>
  <si>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</si>
  <si>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</si>
  <si>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</si>
  <si>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</si>
  <si>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</si>
  <si>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</si>
  <si>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</si>
  <si>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</si>
  <si>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</si>
  <si>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</si>
  <si>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</si>
  <si>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</si>
  <si>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</si>
  <si>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</si>
  <si>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</si>
  <si>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</si>
  <si>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</si>
  <si>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</si>
  <si>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</si>
  <si>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</si>
  <si>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</si>
  <si>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</si>
  <si>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</si>
  <si>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</si>
  <si>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</si>
  <si>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</si>
  <si>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</si>
  <si>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</si>
  <si>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</si>
  <si>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</si>
  <si>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</si>
  <si>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</si>
  <si>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</si>
  <si>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</si>
  <si>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</si>
  <si>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</si>
  <si>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</si>
  <si>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</si>
  <si>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</si>
  <si>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</si>
  <si>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</si>
  <si>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</si>
  <si>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</si>
  <si>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</si>
  <si>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</si>
  <si>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</si>
  <si>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</si>
  <si>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</si>
  <si>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</si>
  <si>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</si>
  <si>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</si>
  <si>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</si>
  <si>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</si>
  <si>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</si>
  <si>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</si>
  <si>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</si>
  <si>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</si>
  <si>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</si>
  <si>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</si>
  <si>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</si>
  <si>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</si>
  <si>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</si>
  <si>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</si>
  <si>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</si>
  <si>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</si>
  <si>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</si>
  <si>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</si>
  <si>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</si>
  <si>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</si>
  <si>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</si>
  <si>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</si>
  <si>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</si>
  <si>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</si>
  <si>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</si>
  <si>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</si>
  <si>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</si>
  <si>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</si>
  <si>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</si>
  <si>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</si>
  <si>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</si>
  <si>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</si>
  <si>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</si>
  <si>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</si>
  <si>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</si>
  <si>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</si>
  <si>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</si>
  <si>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</si>
  <si>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</si>
  <si>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</si>
  <si>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</si>
  <si>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</si>
  <si>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</si>
  <si>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</si>
  <si>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</si>
  <si>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</si>
  <si>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</si>
  <si>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</si>
  <si>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</si>
  <si>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</si>
  <si>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</si>
  <si>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</si>
  <si>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</si>
  <si>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</si>
  <si>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</si>
  <si>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</si>
  <si>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</si>
  <si>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</si>
  <si>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</si>
  <si>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</si>
  <si>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</si>
  <si>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</si>
  <si>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</si>
  <si>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</si>
  <si>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</si>
  <si>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</si>
  <si>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</si>
  <si>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</si>
  <si>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</si>
  <si>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</si>
  <si>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</si>
  <si>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</si>
  <si>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</si>
  <si>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</si>
  <si>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</si>
  <si>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</si>
  <si>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</si>
  <si>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</si>
  <si>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</si>
  <si>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</si>
  <si>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</si>
  <si>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</si>
  <si>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</si>
  <si>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</si>
  <si>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</si>
  <si>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</si>
  <si>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</si>
  <si>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</si>
  <si>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</si>
  <si>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</si>
  <si>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</si>
  <si>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</si>
  <si>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</si>
  <si>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</si>
  <si>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</si>
  <si>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</si>
  <si>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</si>
  <si>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</si>
  <si>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</si>
  <si>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</si>
  <si>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</si>
  <si>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</si>
  <si>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</si>
  <si>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</si>
  <si>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</si>
  <si>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</si>
  <si>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</si>
  <si>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</si>
  <si>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</si>
  <si>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</si>
  <si>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</si>
  <si>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</si>
  <si>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</si>
  <si>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</si>
  <si>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</si>
  <si>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</si>
  <si>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</si>
  <si>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</si>
  <si>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</si>
  <si>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</si>
  <si>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</si>
  <si>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</si>
  <si>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</si>
  <si>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</si>
  <si>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</si>
  <si>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</si>
  <si>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</si>
  <si>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</si>
  <si>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</si>
  <si>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</si>
  <si>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</si>
  <si>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</si>
  <si>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</si>
  <si>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</si>
  <si>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</si>
  <si>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</si>
  <si>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</si>
  <si>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</si>
  <si>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</si>
  <si>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</si>
  <si>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</si>
  <si>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</si>
  <si>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</si>
  <si>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</si>
  <si>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</si>
  <si>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</si>
  <si>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</si>
  <si>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</si>
  <si>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</si>
  <si>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</si>
  <si>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</si>
  <si>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</si>
  <si>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</si>
  <si>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</si>
  <si>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</si>
  <si>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</si>
  <si>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</si>
  <si>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</si>
  <si>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</si>
  <si>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</si>
  <si>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</si>
  <si>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</si>
  <si>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</si>
  <si>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</si>
  <si>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</si>
  <si>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</si>
  <si>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</si>
  <si>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</si>
  <si>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</si>
  <si>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</si>
  <si>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</si>
  <si>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</si>
  <si>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</si>
  <si>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</si>
  <si>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</si>
  <si>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</si>
  <si>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</si>
  <si>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</si>
  <si>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</si>
  <si>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</si>
  <si>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</si>
  <si>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</si>
  <si>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</si>
  <si>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</si>
  <si>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</si>
  <si>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</si>
  <si>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</si>
  <si>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</si>
  <si>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</si>
  <si>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</si>
  <si>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</si>
  <si>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</si>
  <si>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</si>
  <si>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</si>
  <si>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</si>
  <si>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</si>
  <si>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</si>
  <si>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</si>
  <si>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</si>
  <si>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</si>
  <si>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</si>
  <si>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</si>
  <si>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</si>
  <si>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</si>
  <si>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</si>
  <si>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</si>
  <si>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</si>
  <si>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</si>
  <si>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</si>
  <si>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</si>
  <si>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</si>
  <si>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</si>
  <si>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</si>
  <si>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</si>
  <si>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</si>
  <si>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</si>
  <si>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</si>
  <si>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</si>
  <si>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</si>
  <si>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</si>
  <si>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</si>
  <si>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</si>
  <si>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</si>
  <si>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</si>
  <si>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</si>
  <si>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</si>
  <si>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</si>
  <si>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</si>
  <si>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</si>
  <si>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</si>
  <si>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</si>
  <si>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</si>
  <si>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</si>
  <si>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</si>
  <si>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</si>
  <si>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</si>
  <si>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</si>
  <si>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</si>
  <si>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</si>
  <si>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</si>
  <si>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</si>
  <si>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</si>
  <si>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</si>
  <si>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</si>
  <si>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</si>
  <si>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</si>
  <si>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</si>
  <si>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</si>
  <si>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</si>
  <si>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</si>
  <si>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</si>
  <si>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</si>
  <si>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</si>
  <si>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</si>
  <si>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</si>
  <si>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</si>
  <si>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</si>
  <si>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</si>
  <si>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</si>
  <si>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</si>
  <si>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</si>
  <si>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</si>
  <si>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</si>
  <si>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</si>
  <si>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</si>
  <si>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</si>
  <si>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</si>
  <si>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</si>
  <si>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</si>
  <si>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</si>
  <si>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</si>
  <si>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</si>
  <si>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</si>
  <si>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</si>
  <si>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</si>
  <si>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</si>
  <si>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</si>
  <si>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</si>
  <si>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</si>
  <si>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</si>
  <si>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</si>
  <si>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</si>
  <si>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</si>
  <si>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</si>
  <si>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</si>
  <si>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</si>
  <si>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</si>
  <si>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</si>
  <si>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</si>
  <si>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</si>
  <si>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</si>
  <si>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</si>
  <si>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</si>
  <si>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</si>
  <si>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</si>
  <si>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</si>
  <si>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</si>
  <si>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</si>
  <si>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</si>
  <si>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</si>
  <si>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</si>
  <si>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</si>
  <si>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</si>
  <si>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</si>
  <si>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</si>
  <si>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</si>
  <si>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</si>
  <si>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</si>
  <si>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</si>
  <si>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</si>
  <si>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</si>
  <si>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</si>
  <si>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</si>
  <si>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</si>
  <si>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</si>
  <si>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</si>
  <si>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</si>
  <si>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</si>
  <si>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</si>
  <si>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</si>
  <si>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</si>
  <si>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</si>
  <si>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</si>
  <si>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</si>
  <si>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</si>
  <si>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</si>
  <si>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</si>
  <si>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</si>
  <si>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</si>
  <si>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</si>
  <si>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</si>
  <si>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</si>
  <si>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</si>
  <si>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</si>
  <si>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</si>
  <si>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</si>
  <si>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</si>
  <si>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</si>
  <si>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</si>
  <si>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</si>
  <si>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</si>
  <si>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</si>
  <si>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</si>
  <si>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</si>
  <si>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</si>
  <si>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</si>
  <si>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</si>
  <si>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</si>
  <si>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</si>
  <si>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</si>
  <si>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</si>
  <si>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</si>
  <si>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</si>
  <si>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</si>
  <si>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</si>
  <si>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</si>
  <si>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</si>
  <si>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</si>
  <si>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</si>
  <si>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</si>
  <si>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</si>
  <si>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</si>
  <si>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</si>
  <si>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</si>
  <si>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</si>
  <si>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</si>
  <si>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</si>
  <si>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</si>
  <si>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</si>
  <si>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</si>
  <si>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</si>
  <si>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</si>
  <si>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</si>
  <si>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</si>
  <si>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</si>
  <si>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</si>
  <si>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</si>
  <si>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</si>
  <si>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</si>
  <si>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</si>
  <si>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</si>
  <si>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</si>
  <si>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</si>
  <si>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</si>
  <si>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</si>
  <si>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</si>
  <si>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</si>
  <si>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</si>
  <si>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</si>
  <si>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</si>
  <si>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</si>
  <si>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</si>
  <si>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</si>
  <si>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</si>
  <si>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</si>
  <si>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</si>
  <si>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</si>
  <si>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</si>
  <si>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</si>
  <si>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</si>
  <si>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</si>
  <si>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</si>
  <si>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</si>
  <si>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</si>
  <si>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</si>
  <si>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</si>
  <si>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</si>
  <si>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</si>
  <si>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</si>
  <si>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</si>
  <si>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</si>
  <si>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</si>
  <si>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</si>
  <si>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</si>
  <si>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</si>
  <si>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</si>
  <si>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</si>
  <si>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</si>
  <si>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</si>
  <si>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</si>
  <si>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</si>
  <si>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</si>
  <si>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</si>
  <si>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</si>
  <si>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</si>
  <si>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</si>
  <si>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</si>
  <si>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</si>
  <si>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</si>
  <si>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</si>
  <si>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</si>
  <si>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</si>
  <si>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</si>
  <si>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</si>
  <si>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</si>
  <si>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</si>
  <si>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</si>
  <si>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</si>
  <si>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</si>
  <si>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</si>
  <si>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</si>
  <si>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</si>
  <si>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</si>
  <si>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</si>
  <si>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</si>
  <si>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</si>
  <si>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</si>
  <si>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</si>
  <si>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</si>
  <si>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</si>
  <si>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</si>
  <si>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</si>
  <si>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</si>
  <si>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</si>
  <si>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</si>
  <si>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</si>
  <si>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</si>
  <si>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</si>
  <si>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</si>
  <si>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</si>
  <si>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</si>
  <si>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</si>
  <si>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</si>
  <si>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</si>
  <si>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</si>
  <si>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</si>
  <si>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</si>
  <si>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</si>
  <si>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</si>
  <si>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</si>
  <si>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</si>
  <si>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</si>
  <si>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</si>
  <si>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</si>
  <si>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</si>
  <si>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</si>
  <si>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</si>
  <si>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</si>
  <si>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</si>
  <si>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</si>
  <si>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</si>
  <si>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</si>
  <si>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</si>
  <si>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</si>
  <si>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</si>
  <si>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</si>
  <si>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</si>
  <si>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</si>
  <si>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</si>
  <si>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</si>
  <si>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</si>
  <si>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</si>
  <si>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</si>
  <si>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</si>
  <si>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</si>
  <si>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</si>
  <si>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</si>
  <si>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</si>
  <si>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</si>
  <si>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</si>
  <si>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</si>
  <si>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</si>
  <si>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</si>
  <si>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</si>
  <si>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</si>
  <si>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</si>
  <si>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</si>
  <si>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</si>
  <si>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</si>
  <si>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</si>
  <si>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</si>
  <si>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</si>
  <si>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</si>
  <si>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</si>
  <si>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</si>
  <si>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</si>
  <si>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</si>
  <si>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</si>
  <si>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</si>
  <si>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</si>
  <si>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</si>
  <si>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</si>
  <si>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</si>
  <si>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</si>
  <si>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</si>
  <si>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</si>
  <si>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</si>
  <si>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</si>
  <si>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</si>
  <si>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</si>
  <si>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</si>
  <si>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</si>
  <si>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</si>
  <si>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</si>
  <si>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</si>
  <si>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</si>
  <si>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</si>
  <si>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</si>
  <si>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</si>
  <si>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</si>
  <si>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</si>
  <si>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</si>
  <si>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</si>
  <si>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</si>
  <si>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</si>
  <si>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</si>
  <si>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</si>
  <si>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</si>
  <si>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</si>
  <si>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</si>
  <si>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</si>
  <si>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</si>
  <si>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</si>
  <si>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</si>
  <si>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</si>
  <si>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</si>
  <si>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</si>
  <si>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</si>
  <si>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</si>
  <si>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</si>
  <si>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</si>
  <si>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</si>
  <si>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</si>
  <si>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</si>
  <si>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</si>
  <si>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</si>
  <si>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</si>
  <si>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</si>
  <si>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</si>
  <si>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</si>
  <si>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</si>
  <si>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</si>
  <si>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</si>
  <si>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</si>
  <si>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</si>
  <si>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</si>
  <si>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</si>
  <si>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</si>
  <si>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</si>
  <si>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</si>
  <si>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</si>
  <si>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</si>
  <si>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</si>
  <si>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</si>
  <si>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</si>
  <si>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</si>
  <si>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</si>
  <si>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</si>
  <si>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</si>
  <si>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</si>
  <si>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</si>
  <si>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</si>
  <si>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</si>
  <si>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</si>
  <si>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</si>
  <si>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</si>
  <si>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</si>
  <si>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</si>
  <si>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</si>
  <si>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</si>
  <si>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</si>
  <si>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</si>
  <si>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</si>
  <si>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</si>
  <si>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</si>
  <si>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</si>
  <si>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</si>
  <si>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</si>
  <si>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</si>
  <si>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</si>
  <si>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</si>
  <si>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</si>
  <si>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</si>
  <si>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</si>
  <si>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</si>
  <si>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</si>
  <si>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</si>
  <si>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</si>
  <si>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</si>
  <si>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</si>
  <si>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</si>
  <si>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</si>
  <si>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</si>
  <si>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</si>
  <si>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</si>
  <si>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</si>
  <si>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</si>
  <si>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</si>
  <si>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</si>
  <si>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</si>
  <si>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</si>
  <si>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</si>
  <si>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</si>
  <si>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</si>
  <si>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</si>
  <si>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</si>
  <si>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</si>
  <si>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</si>
  <si>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</si>
  <si>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</si>
  <si>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</si>
  <si>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</si>
  <si>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</si>
  <si>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</si>
  <si>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</si>
  <si>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</si>
  <si>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</si>
  <si>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</si>
  <si>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</si>
  <si>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</si>
  <si>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</si>
  <si>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</si>
  <si>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</si>
  <si>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</si>
  <si>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</si>
  <si>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</si>
  <si>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</si>
  <si>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</si>
  <si>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</si>
  <si>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</si>
  <si>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</si>
  <si>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</si>
  <si>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</si>
  <si>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</si>
  <si>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</si>
  <si>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</si>
  <si>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</si>
  <si>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</si>
  <si>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</si>
  <si>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</si>
  <si>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</si>
  <si>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</si>
  <si>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</si>
  <si>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</si>
  <si>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</si>
  <si>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</si>
  <si>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</si>
  <si>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</si>
  <si>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</si>
  <si>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</si>
  <si>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</si>
  <si>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</si>
  <si>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</si>
  <si>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</si>
  <si>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</si>
  <si>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</si>
  <si>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</si>
  <si>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</si>
  <si>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</si>
  <si>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</si>
  <si>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</si>
  <si>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</si>
  <si>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</si>
  <si>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</si>
  <si>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</si>
  <si>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</si>
  <si>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</si>
  <si>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</si>
  <si>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</si>
  <si>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</si>
  <si>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</si>
  <si>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</si>
  <si>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</si>
  <si>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</si>
  <si>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</si>
  <si>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</si>
  <si>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</si>
  <si>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</si>
  <si>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</si>
  <si>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</si>
  <si>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</si>
  <si>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</si>
  <si>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</si>
  <si>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</si>
  <si>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</si>
  <si>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</si>
  <si>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</si>
  <si>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</si>
  <si>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</si>
  <si>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</si>
  <si>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</si>
  <si>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</si>
  <si>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</si>
  <si>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</si>
  <si>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</si>
  <si>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</si>
  <si>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</si>
  <si>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</si>
  <si>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</si>
  <si>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</si>
  <si>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</si>
  <si>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</si>
  <si>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</si>
  <si>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</si>
  <si>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</si>
  <si>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</si>
  <si>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</si>
  <si>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</si>
  <si>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</si>
  <si>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</si>
  <si>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</si>
  <si>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</si>
  <si>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</si>
  <si>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</si>
  <si>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</si>
  <si>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</si>
  <si>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</si>
  <si>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</si>
  <si>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</si>
  <si>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</si>
  <si>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</si>
  <si>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</si>
  <si>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</si>
  <si>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</si>
  <si>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</si>
  <si>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</si>
  <si>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</si>
  <si>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</si>
  <si>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</si>
  <si>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</si>
  <si>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</si>
  <si>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</si>
  <si>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</si>
  <si>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</si>
  <si>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</si>
  <si>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</si>
  <si>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</si>
  <si>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</si>
  <si>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</si>
  <si>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</si>
  <si>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</si>
  <si>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</si>
  <si>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</si>
  <si>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</si>
  <si>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</si>
  <si>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</si>
  <si>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</si>
  <si>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</si>
  <si>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</si>
  <si>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</si>
  <si>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</si>
  <si>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</si>
  <si>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</si>
  <si>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</si>
  <si>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</si>
  <si>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</si>
  <si>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</si>
  <si>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</si>
  <si>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</si>
  <si>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</si>
  <si>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</si>
  <si>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</si>
  <si>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</si>
  <si>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</si>
  <si>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</si>
  <si>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</si>
  <si>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</si>
  <si>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</si>
  <si>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</si>
  <si>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</si>
  <si>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</si>
  <si>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</si>
  <si>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</si>
  <si>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</si>
  <si>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</si>
  <si>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</si>
  <si>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</si>
  <si>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</si>
  <si>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</si>
  <si>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</si>
  <si>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</si>
  <si>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</si>
  <si>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</si>
  <si>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</si>
  <si>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</si>
  <si>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</si>
  <si>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</si>
  <si>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</si>
  <si>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</si>
  <si>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</si>
  <si>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</si>
  <si>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</si>
  <si>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</si>
  <si>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</si>
  <si>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</si>
  <si>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</si>
  <si>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</si>
  <si>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</si>
  <si>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</si>
  <si>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</si>
  <si>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</si>
  <si>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</si>
  <si>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</si>
  <si>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</si>
  <si>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</si>
  <si>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</si>
  <si>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</si>
  <si>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</si>
  <si>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</si>
  <si>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</si>
  <si>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</si>
  <si>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</si>
  <si>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</si>
  <si>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</si>
  <si>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</si>
  <si>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</si>
  <si>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</si>
  <si>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</si>
  <si>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</si>
  <si>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</si>
  <si>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</si>
  <si>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</si>
  <si>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</si>
  <si>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</si>
  <si>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</si>
  <si>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</si>
  <si>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</si>
  <si>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</si>
  <si>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</si>
  <si>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</si>
  <si>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</si>
  <si>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</si>
  <si>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</si>
  <si>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</si>
  <si>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</si>
  <si>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</si>
  <si>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</si>
  <si>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</si>
  <si>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</si>
  <si>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</si>
  <si>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</si>
  <si>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</si>
  <si>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</si>
  <si>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</si>
  <si>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</si>
  <si>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</si>
  <si>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</si>
  <si>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</si>
  <si>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</si>
  <si>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</si>
  <si>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</si>
  <si>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</si>
  <si>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</si>
  <si>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</si>
  <si>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</si>
  <si>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</si>
  <si>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</si>
  <si>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</si>
  <si>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</si>
  <si>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</si>
  <si>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</si>
  <si>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</si>
  <si>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</si>
  <si>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</si>
  <si>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</si>
  <si>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</si>
  <si>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</si>
  <si>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</si>
  <si>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</si>
  <si>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</si>
  <si>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</si>
  <si>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</si>
  <si>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</si>
  <si>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</si>
  <si>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</si>
  <si>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</si>
  <si>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</si>
  <si>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</si>
  <si>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</si>
  <si>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</si>
  <si>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</si>
  <si>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</si>
  <si>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</si>
  <si>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</si>
  <si>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</si>
  <si>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</si>
  <si>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</si>
  <si>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</si>
  <si>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</si>
  <si>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</si>
  <si>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</si>
  <si>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</si>
  <si>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</si>
  <si>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</si>
  <si>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</si>
  <si>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</si>
  <si>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</si>
  <si>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</si>
  <si>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</si>
  <si>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</si>
  <si>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</si>
  <si>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</si>
  <si>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</si>
  <si>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</si>
  <si>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</si>
  <si>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</si>
  <si>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</si>
  <si>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</si>
  <si>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</si>
  <si>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</si>
  <si>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</si>
  <si>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</si>
  <si>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</si>
  <si>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</si>
  <si>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</si>
  <si>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</si>
  <si>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</si>
  <si>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</si>
  <si>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</si>
  <si>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</si>
  <si>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</si>
  <si>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</si>
  <si>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</si>
  <si>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</si>
  <si>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</si>
  <si>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</si>
  <si>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</si>
  <si>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</si>
  <si>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</si>
  <si>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</si>
  <si>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</si>
  <si>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</si>
  <si>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</si>
  <si>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</si>
  <si>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</si>
  <si>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</si>
  <si>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</si>
  <si>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</si>
  <si>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</si>
  <si>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</si>
  <si>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</si>
  <si>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</si>
  <si>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</si>
  <si>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</si>
  <si>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</si>
  <si>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</si>
  <si>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</si>
  <si>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</si>
  <si>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</si>
  <si>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</si>
  <si>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</si>
  <si>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</si>
  <si>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</si>
  <si>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</si>
  <si>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</si>
  <si>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</si>
  <si>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</si>
  <si>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</si>
  <si>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</si>
  <si>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</si>
  <si>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</si>
  <si>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</si>
  <si>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</si>
  <si>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</si>
  <si>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</si>
  <si>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</si>
  <si>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</si>
  <si>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</si>
  <si>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</si>
  <si>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</si>
  <si>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</si>
  <si>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</si>
  <si>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</si>
  <si>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</si>
  <si>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</si>
  <si>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</si>
  <si>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</si>
  <si>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</si>
  <si>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</si>
  <si>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</si>
  <si>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</si>
  <si>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</si>
  <si>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</si>
  <si>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</si>
  <si>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</si>
  <si>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</si>
  <si>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</si>
  <si>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</si>
  <si>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</si>
  <si>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</si>
  <si>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</si>
  <si>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</si>
  <si>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</si>
  <si>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</si>
  <si>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</si>
  <si>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</si>
  <si>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</si>
  <si>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</si>
  <si>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</si>
  <si>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</si>
  <si>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</si>
  <si>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</si>
  <si>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</si>
  <si>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</si>
  <si>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</si>
  <si>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</si>
  <si>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</si>
  <si>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</si>
  <si>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</si>
  <si>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</si>
  <si>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</si>
  <si>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</si>
  <si>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</si>
  <si>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</si>
  <si>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</si>
  <si>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</si>
  <si>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</si>
  <si>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</si>
  <si>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</si>
  <si>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</si>
  <si>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</si>
  <si>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</si>
  <si>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</si>
  <si>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</si>
  <si>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</si>
  <si>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</si>
  <si>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</si>
  <si>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</si>
  <si>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</si>
  <si>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</si>
  <si>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</si>
  <si>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</si>
  <si>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</si>
  <si>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</si>
  <si>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</si>
  <si>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</si>
  <si>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</si>
  <si>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</si>
  <si>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</si>
  <si>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</si>
  <si>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</si>
  <si>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</si>
  <si>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</si>
  <si>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</si>
  <si>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</si>
  <si>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</si>
  <si>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</si>
  <si>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</si>
  <si>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</si>
  <si>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</si>
  <si>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</si>
  <si>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</si>
  <si>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</si>
  <si>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</si>
  <si>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</si>
  <si>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</si>
  <si>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</si>
  <si>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</si>
  <si>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</si>
  <si>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</si>
  <si>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</si>
  <si>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</si>
  <si>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</si>
  <si>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</si>
  <si>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</si>
  <si>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</si>
  <si>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</si>
  <si>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</si>
  <si>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</si>
  <si>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</si>
  <si>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</si>
  <si>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</si>
  <si>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</si>
  <si>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</si>
  <si>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</si>
  <si>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</si>
  <si>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</si>
  <si>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</si>
  <si>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</si>
  <si>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</si>
  <si>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</si>
  <si>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</si>
  <si>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</si>
  <si>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</si>
  <si>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</si>
  <si>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</si>
  <si>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</si>
  <si>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</si>
  <si>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</si>
  <si>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</si>
  <si>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</si>
  <si>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</si>
  <si>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</si>
  <si>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</si>
  <si>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</si>
  <si>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</si>
  <si>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</si>
  <si>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</si>
  <si>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</si>
  <si>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</si>
  <si>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</si>
  <si>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</si>
  <si>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</si>
  <si>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</si>
  <si>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</si>
  <si>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</si>
  <si>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</si>
  <si>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</si>
  <si>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</si>
  <si>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</si>
  <si>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</si>
  <si>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</si>
  <si>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</si>
  <si>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</si>
  <si>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</si>
  <si>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</si>
  <si>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</si>
  <si>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</si>
  <si>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</si>
  <si>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</si>
  <si>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</si>
  <si>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</si>
  <si>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</si>
  <si>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</si>
  <si>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</si>
  <si>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</si>
  <si>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</si>
  <si>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</si>
  <si>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</si>
  <si>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</si>
  <si>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</si>
  <si>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</si>
  <si>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</si>
  <si>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</si>
  <si>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</si>
  <si>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</si>
  <si>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</si>
  <si>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</si>
  <si>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</si>
  <si>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</si>
  <si>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</si>
  <si>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</si>
  <si>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</si>
  <si>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</si>
  <si>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</si>
  <si>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</si>
  <si>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</si>
  <si>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</si>
  <si>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</si>
  <si>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</si>
  <si>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</si>
  <si>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</si>
  <si>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</si>
  <si>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</si>
  <si>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</si>
  <si>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</si>
  <si>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</si>
  <si>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</si>
  <si>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</si>
  <si>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</si>
  <si>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</si>
  <si>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</si>
  <si>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</si>
  <si>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</si>
  <si>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</si>
  <si>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</si>
  <si>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</si>
  <si>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</si>
  <si>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</si>
  <si>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</si>
  <si>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</si>
  <si>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</si>
  <si>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</si>
  <si>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</si>
  <si>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</si>
  <si>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</si>
  <si>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</si>
  <si>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</si>
  <si>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</si>
  <si>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</si>
  <si>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</si>
  <si>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</si>
  <si>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</si>
  <si>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</si>
  <si>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</si>
  <si>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</si>
  <si>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</si>
  <si>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</si>
  <si>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</si>
  <si>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</si>
  <si>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</si>
  <si>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</si>
  <si>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</si>
  <si>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</si>
  <si>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</si>
  <si>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</si>
  <si>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</si>
  <si>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</si>
  <si>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</si>
  <si>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</si>
  <si>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</si>
  <si>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</si>
  <si>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</si>
  <si>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</si>
  <si>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</si>
  <si>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</si>
  <si>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</si>
  <si>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</si>
  <si>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</si>
  <si>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</si>
  <si>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</si>
  <si>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</si>
  <si>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</si>
  <si>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</si>
  <si>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</si>
  <si>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</si>
  <si>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</si>
  <si>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</si>
  <si>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</si>
  <si>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</si>
  <si>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</si>
  <si>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</si>
  <si>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</si>
  <si>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</si>
  <si>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</si>
  <si>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</si>
  <si>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</si>
  <si>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</si>
  <si>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</si>
  <si>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</si>
  <si>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</si>
  <si>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</si>
  <si>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</si>
  <si>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</si>
  <si>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</si>
  <si>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</si>
  <si>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</si>
  <si>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</si>
  <si>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</si>
  <si>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</si>
  <si>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</si>
  <si>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</si>
  <si>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</si>
  <si>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</si>
  <si>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</si>
  <si>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</si>
  <si>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</si>
  <si>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</si>
  <si>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</si>
  <si>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</si>
  <si>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</si>
  <si>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</si>
  <si>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</si>
  <si>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</si>
  <si>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</si>
  <si>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</si>
  <si>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</si>
  <si>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</si>
  <si>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</si>
  <si>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</si>
  <si>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</si>
  <si>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</si>
  <si>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</si>
  <si>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</si>
  <si>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</si>
  <si>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</si>
  <si>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</si>
  <si>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</si>
  <si>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</si>
  <si>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</si>
  <si>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</si>
  <si>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</si>
  <si>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</si>
  <si>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</si>
  <si>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</si>
  <si>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</si>
  <si>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</si>
  <si>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</si>
  <si>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</si>
  <si>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</si>
  <si>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</si>
  <si>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</si>
  <si>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</si>
  <si>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</si>
  <si>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</si>
  <si>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</si>
  <si>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</si>
  <si>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</si>
  <si>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</si>
  <si>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</si>
  <si>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</si>
  <si>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</si>
  <si>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</si>
  <si>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</si>
  <si>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</si>
  <si>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</si>
  <si>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</si>
  <si>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</si>
  <si>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</si>
  <si>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</si>
  <si>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</si>
  <si>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</si>
  <si>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</si>
  <si>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</si>
  <si>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</si>
  <si>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</si>
  <si>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</si>
  <si>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</si>
  <si>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</si>
  <si>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</si>
  <si>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</si>
  <si>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</si>
  <si>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</si>
  <si>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</si>
  <si>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</si>
  <si>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</si>
  <si>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</si>
  <si>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</si>
  <si>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</si>
  <si>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</si>
  <si>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</si>
  <si>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</si>
  <si>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</si>
  <si>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</si>
  <si>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</si>
  <si>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</si>
  <si>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</si>
  <si>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</si>
  <si>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</si>
  <si>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</si>
  <si>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</si>
  <si>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</si>
  <si>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</si>
  <si>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</si>
  <si>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</si>
  <si>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</si>
  <si>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</si>
  <si>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</si>
  <si>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</si>
  <si>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</si>
  <si>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</si>
  <si>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</si>
  <si>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</si>
  <si>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</si>
  <si>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</si>
  <si>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</si>
  <si>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</si>
  <si>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</si>
  <si>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</si>
  <si>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</si>
  <si>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</si>
  <si>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</si>
  <si>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</si>
  <si>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</si>
  <si>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</si>
  <si>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</si>
  <si>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</si>
  <si>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</si>
  <si>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</si>
  <si>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</si>
  <si>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</si>
  <si>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</si>
  <si>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</si>
  <si>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</si>
  <si>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</si>
  <si>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</si>
  <si>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</si>
  <si>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</si>
  <si>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</si>
  <si>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</si>
  <si>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</si>
  <si>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</si>
  <si>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</si>
  <si>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</si>
  <si>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</si>
  <si>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</si>
  <si>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</si>
  <si>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</si>
  <si>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</si>
  <si>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</si>
  <si>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</si>
  <si>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</si>
  <si>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</si>
  <si>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</si>
  <si>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</si>
  <si>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</si>
  <si>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</si>
  <si>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</si>
  <si>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</si>
  <si>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</si>
  <si>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</si>
  <si>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</si>
  <si>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</si>
  <si>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</si>
  <si>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</si>
  <si>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</si>
  <si>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</si>
  <si>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</si>
  <si>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</si>
  <si>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</si>
  <si>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</si>
  <si>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</si>
  <si>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</si>
  <si>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</si>
  <si>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</si>
  <si>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</si>
  <si>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</si>
  <si>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</si>
  <si>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</si>
  <si>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</si>
  <si>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</si>
  <si>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</si>
  <si>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</si>
  <si>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</si>
  <si>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</si>
  <si>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</si>
  <si>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</si>
  <si>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</si>
  <si>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</si>
  <si>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</si>
  <si>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</si>
  <si>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</si>
  <si>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</si>
  <si>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</si>
  <si>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</si>
  <si>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</si>
  <si>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</si>
  <si>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</si>
  <si>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</si>
  <si>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</si>
  <si>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</si>
  <si>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</si>
  <si>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</si>
  <si>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</si>
  <si>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</si>
  <si>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</si>
  <si>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</si>
  <si>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</si>
  <si>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</si>
  <si>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</si>
  <si>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</si>
  <si>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</si>
  <si>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</si>
  <si>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</si>
  <si>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</si>
  <si>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</si>
  <si>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</si>
  <si>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</si>
  <si>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</si>
  <si>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</si>
  <si>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</si>
  <si>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</si>
  <si>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</si>
  <si>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</si>
  <si>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</si>
  <si>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</si>
  <si>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</si>
  <si>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</si>
  <si>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</si>
  <si>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</si>
  <si>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</si>
  <si>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</si>
  <si>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</si>
  <si>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</si>
  <si>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</si>
  <si>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</si>
  <si>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</si>
  <si>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</si>
  <si>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</si>
  <si>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</si>
  <si>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</si>
  <si>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</si>
  <si>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</si>
  <si>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</si>
  <si>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</si>
  <si>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</si>
  <si>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</si>
  <si>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</si>
  <si>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</si>
  <si>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</si>
  <si>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</si>
  <si>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</si>
  <si>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</si>
  <si>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</si>
  <si>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</si>
  <si>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</si>
  <si>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</si>
  <si>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</si>
  <si>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</si>
  <si>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</si>
  <si>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</si>
  <si>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</si>
  <si>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</si>
  <si>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</si>
  <si>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</si>
  <si>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</si>
  <si>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</si>
  <si>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</si>
  <si>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</si>
  <si>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</si>
  <si>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</si>
  <si>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</si>
  <si>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</si>
  <si>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</si>
  <si>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</si>
  <si>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</si>
  <si>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</si>
  <si>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</si>
  <si>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</si>
  <si>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</si>
  <si>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</si>
  <si>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</si>
  <si>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</si>
  <si>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</si>
  <si>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</si>
  <si>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</si>
  <si>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</si>
  <si>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</si>
  <si>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</si>
  <si>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</si>
  <si>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</si>
  <si>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</si>
  <si>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</si>
  <si>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</si>
  <si>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</si>
  <si>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</si>
  <si>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</si>
  <si>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</si>
  <si>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</si>
  <si>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</si>
  <si>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</si>
  <si>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</si>
  <si>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</si>
  <si>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</si>
  <si>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</si>
  <si>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</si>
  <si>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</si>
  <si>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</si>
  <si>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</si>
  <si>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</si>
  <si>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</si>
  <si>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</si>
  <si>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</si>
  <si>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</si>
  <si>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</si>
  <si>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</si>
  <si>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</si>
  <si>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</si>
  <si>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</si>
  <si>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</si>
  <si>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</si>
  <si>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</si>
  <si>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</si>
  <si>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</si>
  <si>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</si>
  <si>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</si>
  <si>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</si>
  <si>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</si>
  <si>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</si>
  <si>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</si>
  <si>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</si>
  <si>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</si>
  <si>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</si>
  <si>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</si>
  <si>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</si>
  <si>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</si>
  <si>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</si>
  <si>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</si>
  <si>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</si>
  <si>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</si>
  <si>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</si>
  <si>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</si>
  <si>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</si>
  <si>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</si>
  <si>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</si>
  <si>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</si>
  <si>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</si>
  <si>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</si>
  <si>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</si>
  <si>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</si>
  <si>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</si>
  <si>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</si>
  <si>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</si>
  <si>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</si>
  <si>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</si>
  <si>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</si>
  <si>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</si>
  <si>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</si>
  <si>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</si>
  <si>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</si>
  <si>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</si>
  <si>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</si>
  <si>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</si>
  <si>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</si>
  <si>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</si>
  <si>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</si>
  <si>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</si>
  <si>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</si>
  <si>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</si>
  <si>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</si>
  <si>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</si>
  <si>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</si>
  <si>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</si>
  <si>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</si>
  <si>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</si>
  <si>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</si>
  <si>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</si>
  <si>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</si>
  <si>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</si>
  <si>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</si>
  <si>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</si>
  <si>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</si>
  <si>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</si>
  <si>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</si>
  <si>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</si>
  <si>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</si>
  <si>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</si>
  <si>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</si>
  <si>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</si>
  <si>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</si>
  <si>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</si>
  <si>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</si>
  <si>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</si>
  <si>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</si>
  <si>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</si>
  <si>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</si>
  <si>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</si>
  <si>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</si>
  <si>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</si>
  <si>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</si>
  <si>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</si>
  <si>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</si>
  <si>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</si>
  <si>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</si>
  <si>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</si>
  <si>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</si>
  <si>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</si>
  <si>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</si>
  <si>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</si>
  <si>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</si>
  <si>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</si>
  <si>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</si>
  <si>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</si>
  <si>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</si>
  <si>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</si>
  <si>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</si>
  <si>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</si>
  <si>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</si>
  <si>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</si>
  <si>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</si>
  <si>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</si>
  <si>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</si>
  <si>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</si>
  <si>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</si>
  <si>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</si>
  <si>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</si>
  <si>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</si>
  <si>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</si>
  <si>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</si>
  <si>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</si>
  <si>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</si>
  <si>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</si>
  <si>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</si>
  <si>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</si>
  <si>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</si>
  <si>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</si>
  <si>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</si>
  <si>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</si>
  <si>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</si>
  <si>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</si>
  <si>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</si>
  <si>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</si>
  <si>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</si>
  <si>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</si>
  <si>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</si>
  <si>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</si>
  <si>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</si>
  <si>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</si>
  <si>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</si>
  <si>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</si>
  <si>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</si>
  <si>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</si>
  <si>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</si>
  <si>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</si>
  <si>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</si>
  <si>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</si>
  <si>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</si>
  <si>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</si>
  <si>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</si>
  <si>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</si>
  <si>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</si>
  <si>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</si>
  <si>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</si>
  <si>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</si>
  <si>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</si>
  <si>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</si>
  <si>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</si>
  <si>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</si>
  <si>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</si>
  <si>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</si>
  <si>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</si>
  <si>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</si>
  <si>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</si>
  <si>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</si>
  <si>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</si>
  <si>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</si>
  <si>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</si>
  <si>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</si>
  <si>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</si>
  <si>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</si>
  <si>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</si>
  <si>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</si>
  <si>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</si>
  <si>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</si>
  <si>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</si>
  <si>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</si>
  <si>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</si>
  <si>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</si>
  <si>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</si>
  <si>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</si>
  <si>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</si>
  <si>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</si>
  <si>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</si>
  <si>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</si>
  <si>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</si>
  <si>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</si>
  <si>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</si>
  <si>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</si>
  <si>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</si>
  <si>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</si>
  <si>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</si>
  <si>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</si>
  <si>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</si>
  <si>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</si>
  <si>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</si>
  <si>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</si>
  <si>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</si>
  <si>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</si>
  <si>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</si>
  <si>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</si>
  <si>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</si>
  <si>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</si>
  <si>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</si>
  <si>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</si>
  <si>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</si>
  <si>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</si>
  <si>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</si>
  <si>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</si>
  <si>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</si>
  <si>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</si>
  <si>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</si>
  <si>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</si>
  <si>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</si>
  <si>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</si>
  <si>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</si>
  <si>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</si>
  <si>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</si>
  <si>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</si>
  <si>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</si>
  <si>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</si>
  <si>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</si>
  <si>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</si>
  <si>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</si>
  <si>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</si>
  <si>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</si>
  <si>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</si>
  <si>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</si>
  <si>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</si>
  <si>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</si>
  <si>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</si>
  <si>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</si>
  <si>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</si>
  <si>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</si>
  <si>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</si>
  <si>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</si>
  <si>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</si>
  <si>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</si>
  <si>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</si>
  <si>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</si>
  <si>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</si>
  <si>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</si>
  <si>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</si>
  <si>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</si>
  <si>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</si>
  <si>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</si>
  <si>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</si>
  <si>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</si>
  <si>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</si>
  <si>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</si>
  <si>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</si>
  <si>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</si>
  <si>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</si>
  <si>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</si>
  <si>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</si>
  <si>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</si>
  <si>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</si>
  <si>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</si>
  <si>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</si>
  <si>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</si>
  <si>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</si>
  <si>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</si>
  <si>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</si>
  <si>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</si>
  <si>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</si>
  <si>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</si>
  <si>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</si>
  <si>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</si>
  <si>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</si>
  <si>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</si>
  <si>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</si>
  <si>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</si>
  <si>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</si>
  <si>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</si>
  <si>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</si>
  <si>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</si>
  <si>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</si>
  <si>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</si>
  <si>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</si>
  <si>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</si>
  <si>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</si>
  <si>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</si>
  <si>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</si>
  <si>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</si>
  <si>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</si>
  <si>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</si>
  <si>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</si>
  <si>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</si>
  <si>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</si>
  <si>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</si>
  <si>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</si>
  <si>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</si>
  <si>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</si>
  <si>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</si>
  <si>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</si>
  <si>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</si>
  <si>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</si>
  <si>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</si>
  <si>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</si>
  <si>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</si>
  <si>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</si>
  <si>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</si>
  <si>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</si>
  <si>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</si>
  <si>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</si>
  <si>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</si>
  <si>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</si>
  <si>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</si>
  <si>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</si>
  <si>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</si>
  <si>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</si>
  <si>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</si>
  <si>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</si>
  <si>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</si>
  <si>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</si>
  <si>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</si>
  <si>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</si>
  <si>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</si>
  <si>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</si>
  <si>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</si>
  <si>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</si>
  <si>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</si>
  <si>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</si>
  <si>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</si>
  <si>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</si>
  <si>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</si>
  <si>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</si>
  <si>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</si>
  <si>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</si>
  <si>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</si>
  <si>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</si>
  <si>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</si>
  <si>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</si>
  <si>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</si>
  <si>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</si>
  <si>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</si>
  <si>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</si>
  <si>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</si>
  <si>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</si>
  <si>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</si>
  <si>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</si>
  <si>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</si>
  <si>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</si>
  <si>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</si>
  <si>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</si>
  <si>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</si>
  <si>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</si>
  <si>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</si>
  <si>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</si>
  <si>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</si>
  <si>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</si>
  <si>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</si>
  <si>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</si>
  <si>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</si>
  <si>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</si>
  <si>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</si>
  <si>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</si>
  <si>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</si>
  <si>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</si>
  <si>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</si>
  <si>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</si>
  <si>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</si>
  <si>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</si>
  <si>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</si>
  <si>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</si>
  <si>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</si>
  <si>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</si>
  <si>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</si>
  <si>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</si>
  <si>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</si>
  <si>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</si>
  <si>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</si>
  <si>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</si>
  <si>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</si>
  <si>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</si>
  <si>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</si>
  <si>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</si>
  <si>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</si>
  <si>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</si>
  <si>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</si>
  <si>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</si>
  <si>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</si>
  <si>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</si>
  <si>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</si>
  <si>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</si>
  <si>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</si>
  <si>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</si>
  <si>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</si>
  <si>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</si>
  <si>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</si>
  <si>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</si>
  <si>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</si>
  <si>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</si>
  <si>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</si>
  <si>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</si>
  <si>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</si>
  <si>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</si>
  <si>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</si>
  <si>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</si>
  <si>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</si>
  <si>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</si>
  <si>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</si>
  <si>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</si>
  <si>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</si>
  <si>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</si>
  <si>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</si>
  <si>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</si>
  <si>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</si>
  <si>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</si>
  <si>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</si>
  <si>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</si>
  <si>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</si>
  <si>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</si>
  <si>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</si>
  <si>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</si>
  <si>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</si>
  <si>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</si>
  <si>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</si>
  <si>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</si>
  <si>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</si>
  <si>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</si>
  <si>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</si>
  <si>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</si>
  <si>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</si>
  <si>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</si>
  <si>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</si>
  <si>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</si>
  <si>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</si>
  <si>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</si>
  <si>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</si>
  <si>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</si>
  <si>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</si>
  <si>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</si>
  <si>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</si>
  <si>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</si>
  <si>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</si>
  <si>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</si>
  <si>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</si>
  <si>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</si>
  <si>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</si>
  <si>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</si>
  <si>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</si>
  <si>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</si>
  <si>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</si>
  <si>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</si>
  <si>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</si>
  <si>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</si>
  <si>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</si>
  <si>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</si>
  <si>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</si>
  <si>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</si>
  <si>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</si>
  <si>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</si>
  <si>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</si>
  <si>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</si>
  <si>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</si>
  <si>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</si>
  <si>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</si>
  <si>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</si>
  <si>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</si>
  <si>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</si>
  <si>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</si>
  <si>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</si>
  <si>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</si>
  <si>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</si>
  <si>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</si>
  <si>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</si>
  <si>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</si>
  <si>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</si>
  <si>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</si>
  <si>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</si>
  <si>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</si>
  <si>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</si>
  <si>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</si>
  <si>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</si>
  <si>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</si>
  <si>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</si>
  <si>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</si>
  <si>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</si>
  <si>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</si>
  <si>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</si>
  <si>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</si>
  <si>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</si>
  <si>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</si>
  <si>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</si>
  <si>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</si>
  <si>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</si>
  <si>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</si>
  <si>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</si>
  <si>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</si>
  <si>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</si>
  <si>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</si>
  <si>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</si>
  <si>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</si>
  <si>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</si>
  <si>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</si>
  <si>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</si>
  <si>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</si>
  <si>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</si>
  <si>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</si>
  <si>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</si>
  <si>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</si>
  <si>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</si>
  <si>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</si>
  <si>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</si>
  <si>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</si>
  <si>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</si>
  <si>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</si>
  <si>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</si>
  <si>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</si>
  <si>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</si>
  <si>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</si>
  <si>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</si>
  <si>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</si>
  <si>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</si>
  <si>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</si>
  <si>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</si>
  <si>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</si>
  <si>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</si>
  <si>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</si>
  <si>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</si>
  <si>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</si>
  <si>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</si>
  <si>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</si>
  <si>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</si>
  <si>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</si>
  <si>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</si>
  <si>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</si>
  <si>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</si>
  <si>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</si>
  <si>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</si>
  <si>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</si>
  <si>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</si>
  <si>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</si>
  <si>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</si>
  <si>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</si>
  <si>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</si>
  <si>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</si>
  <si>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</si>
  <si>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</si>
  <si>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</si>
  <si>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</si>
  <si>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</si>
  <si>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</si>
  <si>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</si>
  <si>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</si>
  <si>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</si>
  <si>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</si>
  <si>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</si>
  <si>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</si>
  <si>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</si>
  <si>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</si>
  <si>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</si>
  <si>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</si>
  <si>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</si>
  <si>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</si>
  <si>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</si>
  <si>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</si>
  <si>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</si>
  <si>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</si>
  <si>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</si>
  <si>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</si>
  <si>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</si>
  <si>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</si>
  <si>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</si>
  <si>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</si>
  <si>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</si>
  <si>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</si>
  <si>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</si>
  <si>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</si>
  <si>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</si>
  <si>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</si>
  <si>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</si>
  <si>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</si>
  <si>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</si>
  <si>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</si>
  <si>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</si>
  <si>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</si>
  <si>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</si>
  <si>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</si>
  <si>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</si>
  <si>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</si>
  <si>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</si>
  <si>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</si>
  <si>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</si>
  <si>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</si>
  <si>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</si>
  <si>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</si>
  <si>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</si>
  <si>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</si>
  <si>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</si>
  <si>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</si>
  <si>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</si>
  <si>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</si>
  <si>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</si>
  <si>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</si>
  <si>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</si>
  <si>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</si>
  <si>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</si>
  <si>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</si>
  <si>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</si>
  <si>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</si>
  <si>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</si>
  <si>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</si>
  <si>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</si>
  <si>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</si>
  <si>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</si>
  <si>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</si>
  <si>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</si>
  <si>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</si>
  <si>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</si>
  <si>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</si>
  <si>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</si>
  <si>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</si>
  <si>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</si>
  <si>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</si>
  <si>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</si>
  <si>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</si>
  <si>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</si>
  <si>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</si>
  <si>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</si>
  <si>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</si>
  <si>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</si>
  <si>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</si>
  <si>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</si>
  <si>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</si>
  <si>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</si>
  <si>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</si>
  <si>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</si>
  <si>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</si>
  <si>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</si>
  <si>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</si>
  <si>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</si>
  <si>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</si>
  <si>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</si>
  <si>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</si>
  <si>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</si>
  <si>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</si>
  <si>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</si>
  <si>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</si>
  <si>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</si>
  <si>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</si>
  <si>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</si>
  <si>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</si>
  <si>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</si>
  <si>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</si>
  <si>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</si>
  <si>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</si>
  <si>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</si>
  <si>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</si>
  <si>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</si>
  <si>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</si>
  <si>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</si>
  <si>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</si>
  <si>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</si>
  <si>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</si>
  <si>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</si>
  <si>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</si>
  <si>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</si>
  <si>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</si>
  <si>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</si>
  <si>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</si>
  <si>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</si>
  <si>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</si>
  <si>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</si>
  <si>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</si>
  <si>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</si>
  <si>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</si>
  <si>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</si>
  <si>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</si>
  <si>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</si>
  <si>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</si>
  <si>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</si>
  <si>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</si>
  <si>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</si>
  <si>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</si>
  <si>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</si>
  <si>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</si>
  <si>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</si>
  <si>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</si>
  <si>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</si>
  <si>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</si>
  <si>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</si>
  <si>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</si>
  <si>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</si>
  <si>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</si>
  <si>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</si>
  <si>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</si>
  <si>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</si>
  <si>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</si>
  <si>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</si>
  <si>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</si>
  <si>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</si>
  <si>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</si>
  <si>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</si>
  <si>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</si>
  <si>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</si>
  <si>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</si>
  <si>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</si>
  <si>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</si>
  <si>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</si>
  <si>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</si>
  <si>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</si>
  <si>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</si>
  <si>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</si>
  <si>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</si>
  <si>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</si>
  <si>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</si>
  <si>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</si>
  <si>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</si>
  <si>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</si>
  <si>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</si>
  <si>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</si>
  <si>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</si>
  <si>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</si>
  <si>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</si>
  <si>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</si>
  <si>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</si>
  <si>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</si>
  <si>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</si>
  <si>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</si>
  <si>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</si>
  <si>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</si>
  <si>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</si>
  <si>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</si>
  <si>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</si>
  <si>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</si>
  <si>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</si>
  <si>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</si>
  <si>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</si>
  <si>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</si>
  <si>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</si>
  <si>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</si>
  <si>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</si>
  <si>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</si>
  <si>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</si>
  <si>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</si>
  <si>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</si>
  <si>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</si>
  <si>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</si>
  <si>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</si>
  <si>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</si>
  <si>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</si>
  <si>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</si>
  <si>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</si>
  <si>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</si>
  <si>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</si>
  <si>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</si>
  <si>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</si>
  <si>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</si>
  <si>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</si>
  <si>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</si>
  <si>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</si>
  <si>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</si>
  <si>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</si>
  <si>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</si>
  <si>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</si>
  <si>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</si>
  <si>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</si>
  <si>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</si>
  <si>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</si>
  <si>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</si>
  <si>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</si>
  <si>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</si>
  <si>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</si>
  <si>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</si>
  <si>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</si>
  <si>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</si>
  <si>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</si>
  <si>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</si>
  <si>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</si>
  <si>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</si>
  <si>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</si>
  <si>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</si>
  <si>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</si>
  <si>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</si>
  <si>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</si>
  <si>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</si>
  <si>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</si>
  <si>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</si>
  <si>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</si>
  <si>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</si>
  <si>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</si>
  <si>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</si>
  <si>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</si>
  <si>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</si>
  <si>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</si>
  <si>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</si>
  <si>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</si>
  <si>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</si>
  <si>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</si>
  <si>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</si>
  <si>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</si>
  <si>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</si>
  <si>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</si>
  <si>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</si>
  <si>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</si>
  <si>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</si>
  <si>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</si>
  <si>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</si>
  <si>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</si>
  <si>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</si>
  <si>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</si>
  <si>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</si>
  <si>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</si>
  <si>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</si>
  <si>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</si>
  <si>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</si>
  <si>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</si>
  <si>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</si>
  <si>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</si>
  <si>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</si>
  <si>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</si>
  <si>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</si>
  <si>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</si>
  <si>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</si>
  <si>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</si>
  <si>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</si>
  <si>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</si>
  <si>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</si>
  <si>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</si>
  <si>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</si>
  <si>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</si>
  <si>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</si>
  <si>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</si>
  <si>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</si>
  <si>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</si>
  <si>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</si>
  <si>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</si>
  <si>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</si>
  <si>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</si>
  <si>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</si>
  <si>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</si>
  <si>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</si>
  <si>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</si>
  <si>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</si>
  <si>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</si>
  <si>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</si>
  <si>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</si>
  <si>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</si>
  <si>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</si>
  <si>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</si>
  <si>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</si>
  <si>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</si>
  <si>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</si>
  <si>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</si>
  <si>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</si>
  <si>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</si>
  <si>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</si>
  <si>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</si>
  <si>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</si>
  <si>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</si>
  <si>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</si>
  <si>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</si>
  <si>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</si>
  <si>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</si>
  <si>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</si>
  <si>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</si>
  <si>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</si>
  <si>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</si>
  <si>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</si>
  <si>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</si>
  <si>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</si>
  <si>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</si>
  <si>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</si>
  <si>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</si>
  <si>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</si>
  <si>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</si>
  <si>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</si>
  <si>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</si>
  <si>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</si>
  <si>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</si>
  <si>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</si>
  <si>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</si>
  <si>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</si>
  <si>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</si>
  <si>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</si>
  <si>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</si>
  <si>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</si>
  <si>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</si>
  <si>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</si>
  <si>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</si>
  <si>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</si>
  <si>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</si>
  <si>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</si>
  <si>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</si>
  <si>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</si>
  <si>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</si>
  <si>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</si>
  <si>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</si>
  <si>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</si>
  <si>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</si>
  <si>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</si>
  <si>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</si>
  <si>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</si>
  <si>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</si>
  <si>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</si>
  <si>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</si>
  <si>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</si>
  <si>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</si>
  <si>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</si>
  <si>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</si>
  <si>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</si>
  <si>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</si>
  <si>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</si>
  <si>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</si>
  <si>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</si>
  <si>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</si>
  <si>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</si>
  <si>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</si>
  <si>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</si>
  <si>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</si>
  <si>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</si>
  <si>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</si>
  <si>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</si>
  <si>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</si>
  <si>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</si>
  <si>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</si>
  <si>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</si>
  <si>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</si>
  <si>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</si>
  <si>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</si>
  <si>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</si>
  <si>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</si>
  <si>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</si>
  <si>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</si>
  <si>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</si>
  <si>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</si>
  <si>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</si>
  <si>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</si>
  <si>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</si>
  <si>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</si>
  <si>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</si>
  <si>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</si>
  <si>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</si>
  <si>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</si>
  <si>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</si>
  <si>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</si>
  <si>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</si>
  <si>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</si>
  <si>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</si>
  <si>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</si>
  <si>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</si>
  <si>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</si>
  <si>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</si>
  <si>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</si>
  <si>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</si>
  <si>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</si>
  <si>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</si>
  <si>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</si>
  <si>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</si>
  <si>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</si>
  <si>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</si>
  <si>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</si>
  <si>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</si>
  <si>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</si>
  <si>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</si>
  <si>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</si>
  <si>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</si>
  <si>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</si>
  <si>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</si>
  <si>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</si>
  <si>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</si>
  <si>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</si>
  <si>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</si>
  <si>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</si>
  <si>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</si>
  <si>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</si>
  <si>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</si>
  <si>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</si>
  <si>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</si>
  <si>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</si>
  <si>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</si>
  <si>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</si>
  <si>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</si>
  <si>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</si>
  <si>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</si>
  <si>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</si>
  <si>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</si>
  <si>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</si>
  <si>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</si>
  <si>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</si>
  <si>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</si>
  <si>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</si>
  <si>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</si>
  <si>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</si>
  <si>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</si>
  <si>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</si>
  <si>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</si>
  <si>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</si>
  <si>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</si>
  <si>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</si>
  <si>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</si>
  <si>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</si>
  <si>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</si>
  <si>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</si>
  <si>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</si>
  <si>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</si>
  <si>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</si>
  <si>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</si>
  <si>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</si>
  <si>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</si>
  <si>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</si>
  <si>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</si>
  <si>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</si>
  <si>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</si>
  <si>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</si>
  <si>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</si>
  <si>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</si>
  <si>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</si>
  <si>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</si>
  <si>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</si>
  <si>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</si>
  <si>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</si>
  <si>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</si>
  <si>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</si>
  <si>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</si>
  <si>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</si>
  <si>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</si>
  <si>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</si>
  <si>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</si>
  <si>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</si>
  <si>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</si>
  <si>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</si>
  <si>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</si>
  <si>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</si>
  <si>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</si>
  <si>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</si>
  <si>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</si>
  <si>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</si>
  <si>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</si>
  <si>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</si>
  <si>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</si>
  <si>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</si>
  <si>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</si>
  <si>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</si>
  <si>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</si>
  <si>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</si>
  <si>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</si>
  <si>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</si>
  <si>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</si>
  <si>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</si>
  <si>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</si>
  <si>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</si>
  <si>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</si>
  <si>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</si>
  <si>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</si>
  <si>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</si>
  <si>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</si>
  <si>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</si>
  <si>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</si>
  <si>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</si>
  <si>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</si>
  <si>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</si>
  <si>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</si>
  <si>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</si>
  <si>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</si>
  <si>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</si>
  <si>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</si>
  <si>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</si>
  <si>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</si>
  <si>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</si>
  <si>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</si>
  <si>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</si>
  <si>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</si>
  <si>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</si>
  <si>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</si>
  <si>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</si>
  <si>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</si>
  <si>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</si>
  <si>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</si>
  <si>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</si>
  <si>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</si>
  <si>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</si>
  <si>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</si>
  <si>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</si>
  <si>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</si>
  <si>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</si>
  <si>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</si>
  <si>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</si>
  <si>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</si>
  <si>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</si>
  <si>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</si>
  <si>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</si>
  <si>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</si>
  <si>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</si>
  <si>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</si>
  <si>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</si>
  <si>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</si>
  <si>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</si>
  <si>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</si>
  <si>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</si>
  <si>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</si>
  <si>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</si>
  <si>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</si>
  <si>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</si>
  <si>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</si>
  <si>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</si>
  <si>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</si>
  <si>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</si>
  <si>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</si>
  <si>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</si>
  <si>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</si>
  <si>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</si>
  <si>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</si>
  <si>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</si>
  <si>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</si>
  <si>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</si>
  <si>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</si>
  <si>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</si>
  <si>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</si>
  <si>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</si>
  <si>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</si>
  <si>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</si>
  <si>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</si>
  <si>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</si>
  <si>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</si>
  <si>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</si>
  <si>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</si>
  <si>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</si>
  <si>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</si>
  <si>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</si>
  <si>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</si>
  <si>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</si>
  <si>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</si>
  <si>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</si>
  <si>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</si>
  <si>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</si>
  <si>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</si>
  <si>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</si>
  <si>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</si>
  <si>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</si>
  <si>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</si>
  <si>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</si>
  <si>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</si>
  <si>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</si>
  <si>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</si>
  <si>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</si>
  <si>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</si>
  <si>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</si>
  <si>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</si>
  <si>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</si>
  <si>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</si>
  <si>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</si>
  <si>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</si>
  <si>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</si>
  <si>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</si>
  <si>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</si>
  <si>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</si>
  <si>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</si>
  <si>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</si>
  <si>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</si>
  <si>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</si>
  <si>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</si>
  <si>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</si>
  <si>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</si>
  <si>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</si>
  <si>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</si>
  <si>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</si>
  <si>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</si>
  <si>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</si>
  <si>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</si>
  <si>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</si>
  <si>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</si>
  <si>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</si>
  <si>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</si>
  <si>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</si>
  <si>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</si>
  <si>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</si>
  <si>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</si>
  <si>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</si>
  <si>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</si>
  <si>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</si>
  <si>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</si>
  <si>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</si>
  <si>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</si>
  <si>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</si>
  <si>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</si>
  <si>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</si>
  <si>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</si>
  <si>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</si>
  <si>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</si>
  <si>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</si>
  <si>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</si>
  <si>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</si>
  <si>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</si>
  <si>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</si>
  <si>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</si>
  <si>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</si>
  <si>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</si>
  <si>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</si>
  <si>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</si>
  <si>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</si>
  <si>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</si>
  <si>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</si>
  <si>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</si>
  <si>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</si>
  <si>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</si>
  <si>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</si>
  <si>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</si>
  <si>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</si>
  <si>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</si>
  <si>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</si>
  <si>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</si>
  <si>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</si>
  <si>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</si>
  <si>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</si>
  <si>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</si>
  <si>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</si>
  <si>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</si>
  <si>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</si>
  <si>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</si>
  <si>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</si>
  <si>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</si>
  <si>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</si>
  <si>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</si>
  <si>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</si>
  <si>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</si>
  <si>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</si>
  <si>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</si>
  <si>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</si>
  <si>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</si>
  <si>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</si>
  <si>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</si>
  <si>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</si>
  <si>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</si>
  <si>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</si>
  <si>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</si>
  <si>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</si>
  <si>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</si>
  <si>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</si>
  <si>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</si>
  <si>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</si>
  <si>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</si>
  <si>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</si>
  <si>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</si>
  <si>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</si>
  <si>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</si>
  <si>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</si>
  <si>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</si>
  <si>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</si>
  <si>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</si>
  <si>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</si>
  <si>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</si>
  <si>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</si>
  <si>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</si>
  <si>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</si>
  <si>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</si>
  <si>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</si>
  <si>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</si>
  <si>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</si>
  <si>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</si>
  <si>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</si>
  <si>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</si>
  <si>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</si>
  <si>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</si>
  <si>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</si>
  <si>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</si>
  <si>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</si>
  <si>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</si>
  <si>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</si>
  <si>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</si>
  <si>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</si>
  <si>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</si>
  <si>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</si>
  <si>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</si>
  <si>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</si>
  <si>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</si>
  <si>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</si>
  <si>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</si>
  <si>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</si>
  <si>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</si>
  <si>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</si>
  <si>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</si>
  <si>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</si>
  <si>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</si>
  <si>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</si>
  <si>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</si>
  <si>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</si>
  <si>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</si>
  <si>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</si>
  <si>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</si>
  <si>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</si>
  <si>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</si>
  <si>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</si>
  <si>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</si>
  <si>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</si>
  <si>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</si>
  <si>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</si>
  <si>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</si>
  <si>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</si>
  <si>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</si>
  <si>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</si>
  <si>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</si>
  <si>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</si>
  <si>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</si>
  <si>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</si>
  <si>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</si>
  <si>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</si>
  <si>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</si>
  <si>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</si>
  <si>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</si>
  <si>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</si>
  <si>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</si>
  <si>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</si>
  <si>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</si>
  <si>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</si>
  <si>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</si>
  <si>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</si>
  <si>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</si>
  <si>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</si>
  <si>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</si>
  <si>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</si>
  <si>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</si>
  <si>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</si>
  <si>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</si>
  <si>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</si>
  <si>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</si>
  <si>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</si>
  <si>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</si>
  <si>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</si>
  <si>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</si>
  <si>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</si>
  <si>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</si>
  <si>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</si>
  <si>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</si>
  <si>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</si>
  <si>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</si>
  <si>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</si>
  <si>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</si>
  <si>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</si>
  <si>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</si>
  <si>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</si>
  <si>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</si>
  <si>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</si>
  <si>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</si>
  <si>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</si>
  <si>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</si>
  <si>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</si>
  <si>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</si>
  <si>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</si>
  <si>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</si>
  <si>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</si>
  <si>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</si>
  <si>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</si>
  <si>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</si>
  <si>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</si>
  <si>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</si>
  <si>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</si>
  <si>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</si>
  <si>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</si>
  <si>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</si>
  <si>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</si>
  <si>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</si>
  <si>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</si>
  <si>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</si>
  <si>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</si>
  <si>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</si>
  <si>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</si>
  <si>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</si>
  <si>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</si>
  <si>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</si>
  <si>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</si>
  <si>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VELEUČILIŠTE U KARLOVCU</t>
  </si>
  <si>
    <t>TRG J.J.STROSSMAYERA 9</t>
  </si>
  <si>
    <t>Katarina Bukovac</t>
  </si>
  <si>
    <t>047843505</t>
  </si>
  <si>
    <t>047843503</t>
  </si>
  <si>
    <t>racunovodstvo@vuka.hr</t>
  </si>
  <si>
    <t>dekanat@vuka.hr</t>
  </si>
  <si>
    <t>NINA POPOVIĆ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</si>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</sst>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23053681</v>
      </c>
      <c r="D2" s="63">
        <f>PRRAS!E12</f>
        <v>24022601</v>
      </c>
      <c r="E2" s="63"/>
      <c r="F2" s="63"/>
      <c r="G2" s="64">
        <f t="shared" ref="G2:G65" si="0">(B2/1000)*(C2*1+D2*2)</f>
        <v>71098.883000000002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21053</v>
      </c>
      <c r="L10" s="50">
        <f>INT(VALUE(RefStr!B6))</f>
        <v>21053</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01286030</v>
      </c>
      <c r="L11" s="50">
        <f>INT(VALUE(RefStr!B8))</f>
        <v>1286030</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VELEUČILIŠTE U KARLOVCU</v>
      </c>
      <c r="L12" s="50">
        <f>LEN(Skriveni!K12)</f>
        <v>23</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47000</v>
      </c>
      <c r="L13" s="50">
        <f>INT(VALUE(RefStr!B12))</f>
        <v>47000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KARLOVAC</v>
      </c>
      <c r="L14" s="50">
        <f>LEN(Skriveni!K14)</f>
        <v>8</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TRG J.J.STROSSMAYERA 9</v>
      </c>
      <c r="L15" s="50">
        <f>LEN(Skriveni!K15)</f>
        <v>22</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11</v>
      </c>
      <c r="L16" s="50">
        <f>INT(VALUE(RefStr!B16))</f>
        <v>11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8542</v>
      </c>
      <c r="L17" s="50">
        <f>INT(VALUE(RefStr!B18))</f>
        <v>8542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080</v>
      </c>
      <c r="L18" s="50">
        <f>INT(VALUE(RefStr!B20))</f>
        <v>80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179</v>
      </c>
      <c r="L19" s="50">
        <f>INT(VALUE(RefStr!B22))</f>
        <v>179</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04</v>
      </c>
      <c r="L20" s="50">
        <f>IF(ISERROR(RefStr!H2),0,INT(VALUE(RefStr!H2)))</f>
        <v>4</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62820859976</v>
      </c>
      <c r="L21" s="50">
        <f>INT(VALUE(RefStr!K14))</f>
        <v>62820859976</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Katarina Bukovac</v>
      </c>
      <c r="L22" s="50">
        <f>LEN(RefStr!H25)</f>
        <v>16</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047843505</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047843503</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racunovodstvo@vuka.hr</v>
      </c>
      <c r="L25" s="50">
        <f>LEN(RefStr!H29)</f>
        <v>21</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dekanat@vuka.hr</v>
      </c>
      <c r="L26" s="50">
        <f>LEN(RefStr!H31)</f>
        <v>15</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NINA POPOVIĆ</v>
      </c>
      <c r="L27" s="50">
        <f>LEN(RefStr!H33)</f>
        <v>12</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557.844.161,63</v>
      </c>
      <c r="L28" s="50">
        <f>SUM(G2:G1561)</f>
        <v>557844161.62500024</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391824484.47000003</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128331331.98900004</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35462473.816</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154.875</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2225716.4750000001</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704333</v>
      </c>
      <c r="D46" s="58">
        <f>PRRAS!E56</f>
        <v>1800725</v>
      </c>
      <c r="E46" s="58">
        <v>0</v>
      </c>
      <c r="F46" s="58">
        <v>0</v>
      </c>
      <c r="G46" s="59">
        <f t="shared" si="0"/>
        <v>193760.23499999999</v>
      </c>
      <c r="H46" s="59">
        <f t="shared" si="1"/>
        <v>0</v>
      </c>
      <c r="I46" s="60">
        <v>0</v>
      </c>
    </row>
    <row r="47" spans="1:12" x14ac:dyDescent="0.2">
      <c r="A47" s="57">
        <v>151</v>
      </c>
      <c r="B47" s="58">
        <f>PRRAS!C57</f>
        <v>46</v>
      </c>
      <c r="C47" s="58">
        <f>PRRAS!D57</f>
        <v>102764</v>
      </c>
      <c r="D47" s="58">
        <f>PRRAS!E57</f>
        <v>0</v>
      </c>
      <c r="E47" s="58">
        <v>0</v>
      </c>
      <c r="F47" s="58">
        <v>0</v>
      </c>
      <c r="G47" s="59">
        <f t="shared" si="0"/>
        <v>4727.1440000000002</v>
      </c>
      <c r="H47" s="59">
        <f t="shared" si="1"/>
        <v>0</v>
      </c>
      <c r="I47" s="60">
        <v>0</v>
      </c>
    </row>
    <row r="48" spans="1:12" x14ac:dyDescent="0.2">
      <c r="A48" s="57">
        <v>151</v>
      </c>
      <c r="B48" s="58">
        <f>PRRAS!C58</f>
        <v>47</v>
      </c>
      <c r="C48" s="58">
        <f>PRRAS!D58</f>
        <v>102764</v>
      </c>
      <c r="D48" s="58">
        <f>PRRAS!E58</f>
        <v>0</v>
      </c>
      <c r="E48" s="58">
        <v>0</v>
      </c>
      <c r="F48" s="58">
        <v>0</v>
      </c>
      <c r="G48" s="59">
        <f t="shared" si="0"/>
        <v>4829.9080000000004</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16200</v>
      </c>
      <c r="D55" s="58">
        <f>PRRAS!E65</f>
        <v>0</v>
      </c>
      <c r="E55" s="58">
        <v>0</v>
      </c>
      <c r="F55" s="58">
        <v>0</v>
      </c>
      <c r="G55" s="59">
        <f t="shared" si="0"/>
        <v>874.8</v>
      </c>
      <c r="H55" s="59">
        <f t="shared" si="1"/>
        <v>0</v>
      </c>
      <c r="I55" s="60">
        <v>0</v>
      </c>
    </row>
    <row r="56" spans="1:9" x14ac:dyDescent="0.2">
      <c r="A56" s="57">
        <v>151</v>
      </c>
      <c r="B56" s="58">
        <f>PRRAS!C66</f>
        <v>55</v>
      </c>
      <c r="C56" s="58">
        <f>PRRAS!D66</f>
        <v>16200</v>
      </c>
      <c r="D56" s="58">
        <f>PRRAS!E66</f>
        <v>0</v>
      </c>
      <c r="E56" s="58">
        <v>0</v>
      </c>
      <c r="F56" s="58">
        <v>0</v>
      </c>
      <c r="G56" s="59">
        <f t="shared" si="0"/>
        <v>891</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161716</v>
      </c>
      <c r="D58" s="58">
        <f>PRRAS!E68</f>
        <v>7314</v>
      </c>
      <c r="E58" s="58">
        <v>0</v>
      </c>
      <c r="F58" s="58">
        <v>0</v>
      </c>
      <c r="G58" s="59">
        <f t="shared" si="0"/>
        <v>10051.608</v>
      </c>
      <c r="H58" s="59">
        <f t="shared" si="1"/>
        <v>0</v>
      </c>
      <c r="I58" s="60">
        <v>0</v>
      </c>
    </row>
    <row r="59" spans="1:9" x14ac:dyDescent="0.2">
      <c r="A59" s="57">
        <v>151</v>
      </c>
      <c r="B59" s="58">
        <f>PRRAS!C69</f>
        <v>58</v>
      </c>
      <c r="C59" s="58">
        <f>PRRAS!D69</f>
        <v>161716</v>
      </c>
      <c r="D59" s="58">
        <f>PRRAS!E69</f>
        <v>7314</v>
      </c>
      <c r="E59" s="58">
        <v>0</v>
      </c>
      <c r="F59" s="58">
        <v>0</v>
      </c>
      <c r="G59" s="59">
        <f t="shared" si="0"/>
        <v>10227.952000000001</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100000</v>
      </c>
      <c r="D64" s="58">
        <f>PRRAS!E74</f>
        <v>1037500</v>
      </c>
      <c r="E64" s="58">
        <v>0</v>
      </c>
      <c r="F64" s="58">
        <v>0</v>
      </c>
      <c r="G64" s="59">
        <f t="shared" si="0"/>
        <v>137025</v>
      </c>
      <c r="H64" s="59">
        <f t="shared" si="1"/>
        <v>0</v>
      </c>
      <c r="I64" s="60">
        <v>0</v>
      </c>
    </row>
    <row r="65" spans="1:9" x14ac:dyDescent="0.2">
      <c r="A65" s="57">
        <v>151</v>
      </c>
      <c r="B65" s="58">
        <f>PRRAS!C75</f>
        <v>64</v>
      </c>
      <c r="C65" s="58">
        <f>PRRAS!D75</f>
        <v>0</v>
      </c>
      <c r="D65" s="58">
        <f>PRRAS!E75</f>
        <v>1037500</v>
      </c>
      <c r="E65" s="58">
        <v>0</v>
      </c>
      <c r="F65" s="58">
        <v>0</v>
      </c>
      <c r="G65" s="59">
        <f t="shared" si="0"/>
        <v>132800</v>
      </c>
      <c r="H65" s="59">
        <f t="shared" si="1"/>
        <v>0</v>
      </c>
      <c r="I65" s="60">
        <v>0</v>
      </c>
    </row>
    <row r="66" spans="1:9" x14ac:dyDescent="0.2">
      <c r="A66" s="57">
        <v>151</v>
      </c>
      <c r="B66" s="58">
        <f>PRRAS!C76</f>
        <v>65</v>
      </c>
      <c r="C66" s="58">
        <f>PRRAS!D76</f>
        <v>100000</v>
      </c>
      <c r="D66" s="58">
        <f>PRRAS!E76</f>
        <v>0</v>
      </c>
      <c r="E66" s="58">
        <v>0</v>
      </c>
      <c r="F66" s="58">
        <v>0</v>
      </c>
      <c r="G66" s="59">
        <f t="shared" ref="G66:G129" si="2">(B66/1000)*(C66*1+D66*2)</f>
        <v>6500</v>
      </c>
      <c r="H66" s="59">
        <f t="shared" ref="H66:H129" si="3">ABS(C66-ROUND(C66,0))+ABS(D66-ROUND(D66,0))</f>
        <v>0</v>
      </c>
      <c r="I66" s="60">
        <v>0</v>
      </c>
    </row>
    <row r="67" spans="1:9" x14ac:dyDescent="0.2">
      <c r="A67" s="57">
        <v>151</v>
      </c>
      <c r="B67" s="58">
        <f>PRRAS!C77</f>
        <v>66</v>
      </c>
      <c r="C67" s="58">
        <f>PRRAS!D77</f>
        <v>0</v>
      </c>
      <c r="D67" s="58">
        <f>PRRAS!E77</f>
        <v>400000</v>
      </c>
      <c r="E67" s="58">
        <v>0</v>
      </c>
      <c r="F67" s="58">
        <v>0</v>
      </c>
      <c r="G67" s="59">
        <f t="shared" si="2"/>
        <v>52800</v>
      </c>
      <c r="H67" s="59">
        <f t="shared" si="3"/>
        <v>0</v>
      </c>
      <c r="I67" s="60">
        <v>0</v>
      </c>
    </row>
    <row r="68" spans="1:9" x14ac:dyDescent="0.2">
      <c r="A68" s="57">
        <v>151</v>
      </c>
      <c r="B68" s="58">
        <f>PRRAS!C78</f>
        <v>67</v>
      </c>
      <c r="C68" s="58">
        <f>PRRAS!D78</f>
        <v>0</v>
      </c>
      <c r="D68" s="58">
        <f>PRRAS!E78</f>
        <v>400000</v>
      </c>
      <c r="E68" s="58">
        <v>0</v>
      </c>
      <c r="F68" s="58">
        <v>0</v>
      </c>
      <c r="G68" s="59">
        <f t="shared" si="2"/>
        <v>53600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323653</v>
      </c>
      <c r="D70" s="58">
        <f>PRRAS!E80</f>
        <v>355911</v>
      </c>
      <c r="E70" s="58">
        <v>0</v>
      </c>
      <c r="F70" s="58">
        <v>0</v>
      </c>
      <c r="G70" s="59">
        <f t="shared" si="2"/>
        <v>71447.775000000009</v>
      </c>
      <c r="H70" s="59">
        <f t="shared" si="3"/>
        <v>0</v>
      </c>
      <c r="I70" s="60">
        <v>0</v>
      </c>
    </row>
    <row r="71" spans="1:9" x14ac:dyDescent="0.2">
      <c r="A71" s="57">
        <v>151</v>
      </c>
      <c r="B71" s="58">
        <f>PRRAS!C81</f>
        <v>70</v>
      </c>
      <c r="C71" s="58">
        <f>PRRAS!D81</f>
        <v>0</v>
      </c>
      <c r="D71" s="58">
        <f>PRRAS!E81</f>
        <v>17691</v>
      </c>
      <c r="E71" s="58">
        <v>0</v>
      </c>
      <c r="F71" s="58">
        <v>0</v>
      </c>
      <c r="G71" s="59">
        <f t="shared" si="2"/>
        <v>2476.7400000000002</v>
      </c>
      <c r="H71" s="59">
        <f t="shared" si="3"/>
        <v>0</v>
      </c>
      <c r="I71" s="60">
        <v>0</v>
      </c>
    </row>
    <row r="72" spans="1:9" x14ac:dyDescent="0.2">
      <c r="A72" s="57">
        <v>151</v>
      </c>
      <c r="B72" s="58">
        <f>PRRAS!C82</f>
        <v>71</v>
      </c>
      <c r="C72" s="58">
        <f>PRRAS!D82</f>
        <v>0</v>
      </c>
      <c r="D72" s="58">
        <f>PRRAS!E82</f>
        <v>100000</v>
      </c>
      <c r="E72" s="58">
        <v>0</v>
      </c>
      <c r="F72" s="58">
        <v>0</v>
      </c>
      <c r="G72" s="59">
        <f t="shared" si="2"/>
        <v>14199.999999999998</v>
      </c>
      <c r="H72" s="59">
        <f t="shared" si="3"/>
        <v>0</v>
      </c>
      <c r="I72" s="60">
        <v>0</v>
      </c>
    </row>
    <row r="73" spans="1:9" x14ac:dyDescent="0.2">
      <c r="A73" s="57">
        <v>151</v>
      </c>
      <c r="B73" s="58">
        <f>PRRAS!C83</f>
        <v>72</v>
      </c>
      <c r="C73" s="58">
        <f>PRRAS!D83</f>
        <v>323653</v>
      </c>
      <c r="D73" s="58">
        <f>PRRAS!E83</f>
        <v>238220</v>
      </c>
      <c r="E73" s="58">
        <v>0</v>
      </c>
      <c r="F73" s="58">
        <v>0</v>
      </c>
      <c r="G73" s="59">
        <f t="shared" si="2"/>
        <v>57606.695999999996</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7854</v>
      </c>
      <c r="D75" s="58">
        <f>PRRAS!E85</f>
        <v>275</v>
      </c>
      <c r="E75" s="58">
        <v>0</v>
      </c>
      <c r="F75" s="58">
        <v>0</v>
      </c>
      <c r="G75" s="59">
        <f t="shared" si="2"/>
        <v>621.89599999999996</v>
      </c>
      <c r="H75" s="59">
        <f t="shared" si="3"/>
        <v>0</v>
      </c>
      <c r="I75" s="60">
        <v>0</v>
      </c>
    </row>
    <row r="76" spans="1:9" x14ac:dyDescent="0.2">
      <c r="A76" s="57">
        <v>151</v>
      </c>
      <c r="B76" s="58">
        <f>PRRAS!C86</f>
        <v>75</v>
      </c>
      <c r="C76" s="58">
        <f>PRRAS!D86</f>
        <v>7854</v>
      </c>
      <c r="D76" s="58">
        <f>PRRAS!E86</f>
        <v>275</v>
      </c>
      <c r="E76" s="58">
        <v>0</v>
      </c>
      <c r="F76" s="58">
        <v>0</v>
      </c>
      <c r="G76" s="59">
        <f t="shared" si="2"/>
        <v>630.29999999999995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948</v>
      </c>
      <c r="D78" s="58">
        <f>PRRAS!E88</f>
        <v>275</v>
      </c>
      <c r="E78" s="58">
        <v>0</v>
      </c>
      <c r="F78" s="58">
        <v>0</v>
      </c>
      <c r="G78" s="59">
        <f t="shared" si="2"/>
        <v>115.346</v>
      </c>
      <c r="H78" s="59">
        <f t="shared" si="3"/>
        <v>0</v>
      </c>
      <c r="I78" s="60">
        <v>0</v>
      </c>
    </row>
    <row r="79" spans="1:9" x14ac:dyDescent="0.2">
      <c r="A79" s="57">
        <v>151</v>
      </c>
      <c r="B79" s="58">
        <f>PRRAS!C89</f>
        <v>78</v>
      </c>
      <c r="C79" s="58">
        <f>PRRAS!D89</f>
        <v>659</v>
      </c>
      <c r="D79" s="58">
        <f>PRRAS!E89</f>
        <v>0</v>
      </c>
      <c r="E79" s="58">
        <v>0</v>
      </c>
      <c r="F79" s="58">
        <v>0</v>
      </c>
      <c r="G79" s="59">
        <f t="shared" si="2"/>
        <v>51.402000000000001</v>
      </c>
      <c r="H79" s="59">
        <f t="shared" si="3"/>
        <v>0</v>
      </c>
      <c r="I79" s="60">
        <v>0</v>
      </c>
    </row>
    <row r="80" spans="1:9" x14ac:dyDescent="0.2">
      <c r="A80" s="57">
        <v>151</v>
      </c>
      <c r="B80" s="58">
        <f>PRRAS!C90</f>
        <v>79</v>
      </c>
      <c r="C80" s="58">
        <f>PRRAS!D90</f>
        <v>6247</v>
      </c>
      <c r="D80" s="58">
        <f>PRRAS!E90</f>
        <v>0</v>
      </c>
      <c r="E80" s="58">
        <v>0</v>
      </c>
      <c r="F80" s="58">
        <v>0</v>
      </c>
      <c r="G80" s="59">
        <f t="shared" si="2"/>
        <v>493.51299999999998</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9511435</v>
      </c>
      <c r="D106" s="58">
        <f>PRRAS!E116</f>
        <v>7881779</v>
      </c>
      <c r="E106" s="58">
        <v>0</v>
      </c>
      <c r="F106" s="58">
        <v>0</v>
      </c>
      <c r="G106" s="59">
        <f t="shared" si="2"/>
        <v>2653874.2650000001</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9511435</v>
      </c>
      <c r="D112" s="58">
        <f>PRRAS!E122</f>
        <v>7881779</v>
      </c>
      <c r="E112" s="58">
        <v>0</v>
      </c>
      <c r="F112" s="58">
        <v>0</v>
      </c>
      <c r="G112" s="59">
        <f t="shared" si="2"/>
        <v>2805524.2230000002</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9511435</v>
      </c>
      <c r="D117" s="58">
        <f>PRRAS!E127</f>
        <v>7881779</v>
      </c>
      <c r="E117" s="58">
        <v>0</v>
      </c>
      <c r="F117" s="58">
        <v>0</v>
      </c>
      <c r="G117" s="59">
        <f t="shared" si="2"/>
        <v>2931899.1880000001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203487</v>
      </c>
      <c r="D124" s="58">
        <f>PRRAS!E134</f>
        <v>351678</v>
      </c>
      <c r="E124" s="58">
        <v>0</v>
      </c>
      <c r="F124" s="58">
        <v>0</v>
      </c>
      <c r="G124" s="59">
        <f t="shared" si="2"/>
        <v>111541.689</v>
      </c>
      <c r="H124" s="59">
        <f t="shared" si="3"/>
        <v>0</v>
      </c>
      <c r="I124" s="60">
        <v>0</v>
      </c>
    </row>
    <row r="125" spans="1:9" x14ac:dyDescent="0.2">
      <c r="A125" s="57">
        <v>151</v>
      </c>
      <c r="B125" s="58">
        <f>PRRAS!C135</f>
        <v>124</v>
      </c>
      <c r="C125" s="58">
        <f>PRRAS!D135</f>
        <v>183713</v>
      </c>
      <c r="D125" s="58">
        <f>PRRAS!E135</f>
        <v>286223</v>
      </c>
      <c r="E125" s="58">
        <v>0</v>
      </c>
      <c r="F125" s="58">
        <v>0</v>
      </c>
      <c r="G125" s="59">
        <f t="shared" si="2"/>
        <v>93763.716</v>
      </c>
      <c r="H125" s="59">
        <f t="shared" si="3"/>
        <v>0</v>
      </c>
      <c r="I125" s="60">
        <v>0</v>
      </c>
    </row>
    <row r="126" spans="1:9" x14ac:dyDescent="0.2">
      <c r="A126" s="57">
        <v>151</v>
      </c>
      <c r="B126" s="58">
        <f>PRRAS!C136</f>
        <v>125</v>
      </c>
      <c r="C126" s="58">
        <f>PRRAS!D136</f>
        <v>6462</v>
      </c>
      <c r="D126" s="58">
        <f>PRRAS!E136</f>
        <v>5514</v>
      </c>
      <c r="E126" s="58">
        <v>0</v>
      </c>
      <c r="F126" s="58">
        <v>0</v>
      </c>
      <c r="G126" s="59">
        <f t="shared" si="2"/>
        <v>2186.25</v>
      </c>
      <c r="H126" s="59">
        <f t="shared" si="3"/>
        <v>0</v>
      </c>
      <c r="I126" s="60">
        <v>0</v>
      </c>
    </row>
    <row r="127" spans="1:9" x14ac:dyDescent="0.2">
      <c r="A127" s="57">
        <v>151</v>
      </c>
      <c r="B127" s="58">
        <f>PRRAS!C137</f>
        <v>126</v>
      </c>
      <c r="C127" s="58">
        <f>PRRAS!D137</f>
        <v>177251</v>
      </c>
      <c r="D127" s="58">
        <f>PRRAS!E137</f>
        <v>280709</v>
      </c>
      <c r="E127" s="58">
        <v>0</v>
      </c>
      <c r="F127" s="58">
        <v>0</v>
      </c>
      <c r="G127" s="59">
        <f t="shared" si="2"/>
        <v>93072.293999999994</v>
      </c>
      <c r="H127" s="59">
        <f t="shared" si="3"/>
        <v>0</v>
      </c>
      <c r="I127" s="60">
        <v>0</v>
      </c>
    </row>
    <row r="128" spans="1:9" x14ac:dyDescent="0.2">
      <c r="A128" s="57">
        <v>151</v>
      </c>
      <c r="B128" s="58">
        <f>PRRAS!C138</f>
        <v>127</v>
      </c>
      <c r="C128" s="58">
        <f>PRRAS!D138</f>
        <v>19774</v>
      </c>
      <c r="D128" s="58">
        <f>PRRAS!E138</f>
        <v>65455</v>
      </c>
      <c r="E128" s="58">
        <v>0</v>
      </c>
      <c r="F128" s="58">
        <v>0</v>
      </c>
      <c r="G128" s="59">
        <f t="shared" si="2"/>
        <v>19136.867999999999</v>
      </c>
      <c r="H128" s="59">
        <f t="shared" si="3"/>
        <v>0</v>
      </c>
      <c r="I128" s="60">
        <v>0</v>
      </c>
    </row>
    <row r="129" spans="1:9" x14ac:dyDescent="0.2">
      <c r="A129" s="57">
        <v>151</v>
      </c>
      <c r="B129" s="58">
        <f>PRRAS!C139</f>
        <v>128</v>
      </c>
      <c r="C129" s="58">
        <f>PRRAS!D139</f>
        <v>17873</v>
      </c>
      <c r="D129" s="58">
        <f>PRRAS!E139</f>
        <v>65455</v>
      </c>
      <c r="E129" s="58">
        <v>0</v>
      </c>
      <c r="F129" s="58">
        <v>0</v>
      </c>
      <c r="G129" s="59">
        <f t="shared" si="2"/>
        <v>19044.224000000002</v>
      </c>
      <c r="H129" s="59">
        <f t="shared" si="3"/>
        <v>0</v>
      </c>
      <c r="I129" s="60">
        <v>0</v>
      </c>
    </row>
    <row r="130" spans="1:9" x14ac:dyDescent="0.2">
      <c r="A130" s="57">
        <v>151</v>
      </c>
      <c r="B130" s="58">
        <f>PRRAS!C140</f>
        <v>129</v>
      </c>
      <c r="C130" s="58">
        <f>PRRAS!D140</f>
        <v>1901</v>
      </c>
      <c r="D130" s="58">
        <f>PRRAS!E140</f>
        <v>0</v>
      </c>
      <c r="E130" s="58">
        <v>0</v>
      </c>
      <c r="F130" s="58">
        <v>0</v>
      </c>
      <c r="G130" s="59">
        <f t="shared" ref="G130:G193" si="4">(B130/1000)*(C130*1+D130*2)</f>
        <v>245.22900000000001</v>
      </c>
      <c r="H130" s="59">
        <f t="shared" ref="H130:H193" si="5">ABS(C130-ROUND(C130,0))+ABS(D130-ROUND(D130,0))</f>
        <v>0</v>
      </c>
      <c r="I130" s="60">
        <v>0</v>
      </c>
    </row>
    <row r="131" spans="1:9" x14ac:dyDescent="0.2">
      <c r="A131" s="57">
        <v>151</v>
      </c>
      <c r="B131" s="58">
        <f>PRRAS!C141</f>
        <v>130</v>
      </c>
      <c r="C131" s="58">
        <f>PRRAS!D141</f>
        <v>12622207</v>
      </c>
      <c r="D131" s="58">
        <f>PRRAS!E141</f>
        <v>13826282</v>
      </c>
      <c r="E131" s="58">
        <v>0</v>
      </c>
      <c r="F131" s="58">
        <v>0</v>
      </c>
      <c r="G131" s="59">
        <f t="shared" si="4"/>
        <v>5235720.2300000004</v>
      </c>
      <c r="H131" s="59">
        <f t="shared" si="5"/>
        <v>0</v>
      </c>
      <c r="I131" s="60">
        <v>0</v>
      </c>
    </row>
    <row r="132" spans="1:9" x14ac:dyDescent="0.2">
      <c r="A132" s="57">
        <v>151</v>
      </c>
      <c r="B132" s="58">
        <f>PRRAS!C142</f>
        <v>131</v>
      </c>
      <c r="C132" s="58">
        <f>PRRAS!D142</f>
        <v>12622207</v>
      </c>
      <c r="D132" s="58">
        <f>PRRAS!E142</f>
        <v>13826282</v>
      </c>
      <c r="E132" s="58">
        <v>0</v>
      </c>
      <c r="F132" s="58">
        <v>0</v>
      </c>
      <c r="G132" s="59">
        <f t="shared" si="4"/>
        <v>5275995.0010000002</v>
      </c>
      <c r="H132" s="59">
        <f t="shared" si="5"/>
        <v>0</v>
      </c>
      <c r="I132" s="60">
        <v>0</v>
      </c>
    </row>
    <row r="133" spans="1:9" x14ac:dyDescent="0.2">
      <c r="A133" s="57">
        <v>151</v>
      </c>
      <c r="B133" s="58">
        <f>PRRAS!C143</f>
        <v>132</v>
      </c>
      <c r="C133" s="58">
        <f>PRRAS!D143</f>
        <v>12622207</v>
      </c>
      <c r="D133" s="58">
        <f>PRRAS!E143</f>
        <v>13826282</v>
      </c>
      <c r="E133" s="58">
        <v>0</v>
      </c>
      <c r="F133" s="58">
        <v>0</v>
      </c>
      <c r="G133" s="59">
        <f t="shared" si="4"/>
        <v>5316269.7719999999</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4365</v>
      </c>
      <c r="D137" s="58">
        <f>PRRAS!E147</f>
        <v>161862</v>
      </c>
      <c r="E137" s="58">
        <v>0</v>
      </c>
      <c r="F137" s="58">
        <v>0</v>
      </c>
      <c r="G137" s="59">
        <f t="shared" si="4"/>
        <v>44620.104000000007</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4365</v>
      </c>
      <c r="D148" s="58">
        <f>PRRAS!E158</f>
        <v>161862</v>
      </c>
      <c r="E148" s="58">
        <v>0</v>
      </c>
      <c r="F148" s="58">
        <v>0</v>
      </c>
      <c r="G148" s="59">
        <f t="shared" si="4"/>
        <v>48229.082999999999</v>
      </c>
      <c r="H148" s="59">
        <f t="shared" si="5"/>
        <v>0</v>
      </c>
      <c r="I148" s="60">
        <v>0</v>
      </c>
    </row>
    <row r="149" spans="1:9" x14ac:dyDescent="0.2">
      <c r="A149" s="57">
        <v>151</v>
      </c>
      <c r="B149" s="58">
        <f>PRRAS!C159</f>
        <v>148</v>
      </c>
      <c r="C149" s="58">
        <f>PRRAS!D159</f>
        <v>22632528</v>
      </c>
      <c r="D149" s="58">
        <f>PRRAS!E159</f>
        <v>24703947</v>
      </c>
      <c r="E149" s="58">
        <v>0</v>
      </c>
      <c r="F149" s="58">
        <v>0</v>
      </c>
      <c r="G149" s="59">
        <f t="shared" si="4"/>
        <v>10661982.456</v>
      </c>
      <c r="H149" s="59">
        <f t="shared" si="5"/>
        <v>0</v>
      </c>
      <c r="I149" s="60">
        <v>0</v>
      </c>
    </row>
    <row r="150" spans="1:9" x14ac:dyDescent="0.2">
      <c r="A150" s="57">
        <v>151</v>
      </c>
      <c r="B150" s="58">
        <f>PRRAS!C160</f>
        <v>149</v>
      </c>
      <c r="C150" s="58">
        <f>PRRAS!D160</f>
        <v>14590986</v>
      </c>
      <c r="D150" s="58">
        <f>PRRAS!E160</f>
        <v>15827397</v>
      </c>
      <c r="E150" s="58">
        <v>0</v>
      </c>
      <c r="F150" s="58">
        <v>0</v>
      </c>
      <c r="G150" s="59">
        <f t="shared" si="4"/>
        <v>6890621.2199999997</v>
      </c>
      <c r="H150" s="59">
        <f t="shared" si="5"/>
        <v>0</v>
      </c>
      <c r="I150" s="60">
        <v>0</v>
      </c>
    </row>
    <row r="151" spans="1:9" x14ac:dyDescent="0.2">
      <c r="A151" s="57">
        <v>151</v>
      </c>
      <c r="B151" s="58">
        <f>PRRAS!C161</f>
        <v>150</v>
      </c>
      <c r="C151" s="58">
        <f>PRRAS!D161</f>
        <v>12161810</v>
      </c>
      <c r="D151" s="58">
        <f>PRRAS!E161</f>
        <v>13180034</v>
      </c>
      <c r="E151" s="58">
        <v>0</v>
      </c>
      <c r="F151" s="58">
        <v>0</v>
      </c>
      <c r="G151" s="59">
        <f t="shared" si="4"/>
        <v>5778281.7000000002</v>
      </c>
      <c r="H151" s="59">
        <f t="shared" si="5"/>
        <v>0</v>
      </c>
      <c r="I151" s="60">
        <v>0</v>
      </c>
    </row>
    <row r="152" spans="1:9" x14ac:dyDescent="0.2">
      <c r="A152" s="57">
        <v>151</v>
      </c>
      <c r="B152" s="58">
        <f>PRRAS!C162</f>
        <v>151</v>
      </c>
      <c r="C152" s="58">
        <f>PRRAS!D162</f>
        <v>12161810</v>
      </c>
      <c r="D152" s="58">
        <f>PRRAS!E162</f>
        <v>13180034</v>
      </c>
      <c r="E152" s="58">
        <v>0</v>
      </c>
      <c r="F152" s="58">
        <v>0</v>
      </c>
      <c r="G152" s="59">
        <f t="shared" si="4"/>
        <v>5816803.5779999997</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337345</v>
      </c>
      <c r="D156" s="58">
        <f>PRRAS!E166</f>
        <v>379594</v>
      </c>
      <c r="E156" s="58">
        <v>0</v>
      </c>
      <c r="F156" s="58">
        <v>0</v>
      </c>
      <c r="G156" s="59">
        <f t="shared" si="4"/>
        <v>169962.61499999999</v>
      </c>
      <c r="H156" s="59">
        <f t="shared" si="5"/>
        <v>0</v>
      </c>
      <c r="I156" s="60">
        <v>0</v>
      </c>
    </row>
    <row r="157" spans="1:9" x14ac:dyDescent="0.2">
      <c r="A157" s="57">
        <v>151</v>
      </c>
      <c r="B157" s="58">
        <f>PRRAS!C167</f>
        <v>156</v>
      </c>
      <c r="C157" s="58">
        <f>PRRAS!D167</f>
        <v>2091831</v>
      </c>
      <c r="D157" s="58">
        <f>PRRAS!E167</f>
        <v>2267769</v>
      </c>
      <c r="E157" s="58">
        <v>0</v>
      </c>
      <c r="F157" s="58">
        <v>0</v>
      </c>
      <c r="G157" s="59">
        <f t="shared" si="4"/>
        <v>1033869.564</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1885081</v>
      </c>
      <c r="D159" s="58">
        <f>PRRAS!E169</f>
        <v>2043629</v>
      </c>
      <c r="E159" s="58">
        <v>0</v>
      </c>
      <c r="F159" s="58">
        <v>0</v>
      </c>
      <c r="G159" s="59">
        <f t="shared" si="4"/>
        <v>943629.56200000003</v>
      </c>
      <c r="H159" s="59">
        <f t="shared" si="5"/>
        <v>0</v>
      </c>
      <c r="I159" s="60">
        <v>0</v>
      </c>
    </row>
    <row r="160" spans="1:9" x14ac:dyDescent="0.2">
      <c r="A160" s="57">
        <v>151</v>
      </c>
      <c r="B160" s="58">
        <f>PRRAS!C170</f>
        <v>159</v>
      </c>
      <c r="C160" s="58">
        <f>PRRAS!D170</f>
        <v>206750</v>
      </c>
      <c r="D160" s="58">
        <f>PRRAS!E170</f>
        <v>224140</v>
      </c>
      <c r="E160" s="58">
        <v>0</v>
      </c>
      <c r="F160" s="58">
        <v>0</v>
      </c>
      <c r="G160" s="59">
        <f t="shared" si="4"/>
        <v>104149.77</v>
      </c>
      <c r="H160" s="59">
        <f t="shared" si="5"/>
        <v>0</v>
      </c>
      <c r="I160" s="60">
        <v>0</v>
      </c>
    </row>
    <row r="161" spans="1:9" x14ac:dyDescent="0.2">
      <c r="A161" s="57">
        <v>151</v>
      </c>
      <c r="B161" s="58">
        <f>PRRAS!C171</f>
        <v>160</v>
      </c>
      <c r="C161" s="58">
        <f>PRRAS!D171</f>
        <v>7820163</v>
      </c>
      <c r="D161" s="58">
        <f>PRRAS!E171</f>
        <v>8631092</v>
      </c>
      <c r="E161" s="58">
        <v>0</v>
      </c>
      <c r="F161" s="58">
        <v>0</v>
      </c>
      <c r="G161" s="59">
        <f t="shared" si="4"/>
        <v>4013175.52</v>
      </c>
      <c r="H161" s="59">
        <f t="shared" si="5"/>
        <v>0</v>
      </c>
      <c r="I161" s="60">
        <v>0</v>
      </c>
    </row>
    <row r="162" spans="1:9" x14ac:dyDescent="0.2">
      <c r="A162" s="57">
        <v>151</v>
      </c>
      <c r="B162" s="58">
        <f>PRRAS!C172</f>
        <v>161</v>
      </c>
      <c r="C162" s="58">
        <f>PRRAS!D172</f>
        <v>863509</v>
      </c>
      <c r="D162" s="58">
        <f>PRRAS!E172</f>
        <v>1019409</v>
      </c>
      <c r="E162" s="58">
        <v>0</v>
      </c>
      <c r="F162" s="58">
        <v>0</v>
      </c>
      <c r="G162" s="59">
        <f t="shared" si="4"/>
        <v>467274.647</v>
      </c>
      <c r="H162" s="59">
        <f t="shared" si="5"/>
        <v>0</v>
      </c>
      <c r="I162" s="60">
        <v>0</v>
      </c>
    </row>
    <row r="163" spans="1:9" x14ac:dyDescent="0.2">
      <c r="A163" s="57">
        <v>151</v>
      </c>
      <c r="B163" s="58">
        <f>PRRAS!C173</f>
        <v>162</v>
      </c>
      <c r="C163" s="58">
        <f>PRRAS!D173</f>
        <v>237218</v>
      </c>
      <c r="D163" s="58">
        <f>PRRAS!E173</f>
        <v>421754</v>
      </c>
      <c r="E163" s="58">
        <v>0</v>
      </c>
      <c r="F163" s="58">
        <v>0</v>
      </c>
      <c r="G163" s="59">
        <f t="shared" si="4"/>
        <v>175077.61199999999</v>
      </c>
      <c r="H163" s="59">
        <f t="shared" si="5"/>
        <v>0</v>
      </c>
      <c r="I163" s="60">
        <v>0</v>
      </c>
    </row>
    <row r="164" spans="1:9" x14ac:dyDescent="0.2">
      <c r="A164" s="57">
        <v>151</v>
      </c>
      <c r="B164" s="58">
        <f>PRRAS!C174</f>
        <v>163</v>
      </c>
      <c r="C164" s="58">
        <f>PRRAS!D174</f>
        <v>523037</v>
      </c>
      <c r="D164" s="58">
        <f>PRRAS!E174</f>
        <v>500828</v>
      </c>
      <c r="E164" s="58">
        <v>0</v>
      </c>
      <c r="F164" s="58">
        <v>0</v>
      </c>
      <c r="G164" s="59">
        <f t="shared" si="4"/>
        <v>248524.959</v>
      </c>
      <c r="H164" s="59">
        <f t="shared" si="5"/>
        <v>0</v>
      </c>
      <c r="I164" s="60">
        <v>0</v>
      </c>
    </row>
    <row r="165" spans="1:9" x14ac:dyDescent="0.2">
      <c r="A165" s="57">
        <v>151</v>
      </c>
      <c r="B165" s="58">
        <f>PRRAS!C175</f>
        <v>164</v>
      </c>
      <c r="C165" s="58">
        <f>PRRAS!D175</f>
        <v>103034</v>
      </c>
      <c r="D165" s="58">
        <f>PRRAS!E175</f>
        <v>96827</v>
      </c>
      <c r="E165" s="58">
        <v>0</v>
      </c>
      <c r="F165" s="58">
        <v>0</v>
      </c>
      <c r="G165" s="59">
        <f t="shared" si="4"/>
        <v>48656.832000000002</v>
      </c>
      <c r="H165" s="59">
        <f t="shared" si="5"/>
        <v>0</v>
      </c>
      <c r="I165" s="60">
        <v>0</v>
      </c>
    </row>
    <row r="166" spans="1:9" x14ac:dyDescent="0.2">
      <c r="A166" s="57">
        <v>151</v>
      </c>
      <c r="B166" s="58">
        <f>PRRAS!C176</f>
        <v>165</v>
      </c>
      <c r="C166" s="58">
        <f>PRRAS!D176</f>
        <v>220</v>
      </c>
      <c r="D166" s="58">
        <f>PRRAS!E176</f>
        <v>0</v>
      </c>
      <c r="E166" s="58">
        <v>0</v>
      </c>
      <c r="F166" s="58">
        <v>0</v>
      </c>
      <c r="G166" s="59">
        <f t="shared" si="4"/>
        <v>36.300000000000004</v>
      </c>
      <c r="H166" s="59">
        <f t="shared" si="5"/>
        <v>0</v>
      </c>
      <c r="I166" s="60">
        <v>0</v>
      </c>
    </row>
    <row r="167" spans="1:9" x14ac:dyDescent="0.2">
      <c r="A167" s="57">
        <v>151</v>
      </c>
      <c r="B167" s="58">
        <f>PRRAS!C177</f>
        <v>166</v>
      </c>
      <c r="C167" s="58">
        <f>PRRAS!D177</f>
        <v>964328</v>
      </c>
      <c r="D167" s="58">
        <f>PRRAS!E177</f>
        <v>1149915</v>
      </c>
      <c r="E167" s="58">
        <v>0</v>
      </c>
      <c r="F167" s="58">
        <v>0</v>
      </c>
      <c r="G167" s="59">
        <f t="shared" si="4"/>
        <v>541850.228</v>
      </c>
      <c r="H167" s="59">
        <f t="shared" si="5"/>
        <v>0</v>
      </c>
      <c r="I167" s="60">
        <v>0</v>
      </c>
    </row>
    <row r="168" spans="1:9" x14ac:dyDescent="0.2">
      <c r="A168" s="57">
        <v>151</v>
      </c>
      <c r="B168" s="58">
        <f>PRRAS!C178</f>
        <v>167</v>
      </c>
      <c r="C168" s="58">
        <f>PRRAS!D178</f>
        <v>249346</v>
      </c>
      <c r="D168" s="58">
        <f>PRRAS!E178</f>
        <v>224480</v>
      </c>
      <c r="E168" s="58">
        <v>0</v>
      </c>
      <c r="F168" s="58">
        <v>0</v>
      </c>
      <c r="G168" s="59">
        <f t="shared" si="4"/>
        <v>116617.10200000001</v>
      </c>
      <c r="H168" s="59">
        <f t="shared" si="5"/>
        <v>0</v>
      </c>
      <c r="I168" s="60">
        <v>0</v>
      </c>
    </row>
    <row r="169" spans="1:9" x14ac:dyDescent="0.2">
      <c r="A169" s="57">
        <v>151</v>
      </c>
      <c r="B169" s="58">
        <f>PRRAS!C179</f>
        <v>168</v>
      </c>
      <c r="C169" s="58">
        <f>PRRAS!D179</f>
        <v>127946</v>
      </c>
      <c r="D169" s="58">
        <f>PRRAS!E179</f>
        <v>57210</v>
      </c>
      <c r="E169" s="58">
        <v>0</v>
      </c>
      <c r="F169" s="58">
        <v>0</v>
      </c>
      <c r="G169" s="59">
        <f t="shared" si="4"/>
        <v>40717.488000000005</v>
      </c>
      <c r="H169" s="59">
        <f t="shared" si="5"/>
        <v>0</v>
      </c>
      <c r="I169" s="60">
        <v>0</v>
      </c>
    </row>
    <row r="170" spans="1:9" x14ac:dyDescent="0.2">
      <c r="A170" s="57">
        <v>151</v>
      </c>
      <c r="B170" s="58">
        <f>PRRAS!C180</f>
        <v>169</v>
      </c>
      <c r="C170" s="58">
        <f>PRRAS!D180</f>
        <v>438901</v>
      </c>
      <c r="D170" s="58">
        <f>PRRAS!E180</f>
        <v>502634</v>
      </c>
      <c r="E170" s="58">
        <v>0</v>
      </c>
      <c r="F170" s="58">
        <v>0</v>
      </c>
      <c r="G170" s="59">
        <f t="shared" si="4"/>
        <v>244064.56100000002</v>
      </c>
      <c r="H170" s="59">
        <f t="shared" si="5"/>
        <v>0</v>
      </c>
      <c r="I170" s="60">
        <v>0</v>
      </c>
    </row>
    <row r="171" spans="1:9" x14ac:dyDescent="0.2">
      <c r="A171" s="57">
        <v>151</v>
      </c>
      <c r="B171" s="58">
        <f>PRRAS!C181</f>
        <v>170</v>
      </c>
      <c r="C171" s="58">
        <f>PRRAS!D181</f>
        <v>107610</v>
      </c>
      <c r="D171" s="58">
        <f>PRRAS!E181</f>
        <v>261401</v>
      </c>
      <c r="E171" s="58">
        <v>0</v>
      </c>
      <c r="F171" s="58">
        <v>0</v>
      </c>
      <c r="G171" s="59">
        <f t="shared" si="4"/>
        <v>107170.04000000001</v>
      </c>
      <c r="H171" s="59">
        <f t="shared" si="5"/>
        <v>0</v>
      </c>
      <c r="I171" s="60">
        <v>0</v>
      </c>
    </row>
    <row r="172" spans="1:9" x14ac:dyDescent="0.2">
      <c r="A172" s="57">
        <v>151</v>
      </c>
      <c r="B172" s="58">
        <f>PRRAS!C182</f>
        <v>171</v>
      </c>
      <c r="C172" s="58">
        <f>PRRAS!D182</f>
        <v>3910</v>
      </c>
      <c r="D172" s="58">
        <f>PRRAS!E182</f>
        <v>5877</v>
      </c>
      <c r="E172" s="58">
        <v>0</v>
      </c>
      <c r="F172" s="58">
        <v>0</v>
      </c>
      <c r="G172" s="59">
        <f t="shared" si="4"/>
        <v>2678.5440000000003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36615</v>
      </c>
      <c r="D174" s="58">
        <f>PRRAS!E184</f>
        <v>98313</v>
      </c>
      <c r="E174" s="58">
        <v>0</v>
      </c>
      <c r="F174" s="58">
        <v>0</v>
      </c>
      <c r="G174" s="59">
        <f t="shared" si="4"/>
        <v>40350.692999999999</v>
      </c>
      <c r="H174" s="59">
        <f t="shared" si="5"/>
        <v>0</v>
      </c>
      <c r="I174" s="60">
        <v>0</v>
      </c>
    </row>
    <row r="175" spans="1:9" x14ac:dyDescent="0.2">
      <c r="A175" s="57">
        <v>151</v>
      </c>
      <c r="B175" s="58">
        <f>PRRAS!C185</f>
        <v>174</v>
      </c>
      <c r="C175" s="58">
        <f>PRRAS!D185</f>
        <v>5522446</v>
      </c>
      <c r="D175" s="58">
        <f>PRRAS!E185</f>
        <v>5280053</v>
      </c>
      <c r="E175" s="58">
        <v>0</v>
      </c>
      <c r="F175" s="58">
        <v>0</v>
      </c>
      <c r="G175" s="59">
        <f t="shared" si="4"/>
        <v>2798364.048</v>
      </c>
      <c r="H175" s="59">
        <f t="shared" si="5"/>
        <v>0</v>
      </c>
      <c r="I175" s="60">
        <v>0</v>
      </c>
    </row>
    <row r="176" spans="1:9" x14ac:dyDescent="0.2">
      <c r="A176" s="57">
        <v>151</v>
      </c>
      <c r="B176" s="58">
        <f>PRRAS!C186</f>
        <v>175</v>
      </c>
      <c r="C176" s="58">
        <f>PRRAS!D186</f>
        <v>117006</v>
      </c>
      <c r="D176" s="58">
        <f>PRRAS!E186</f>
        <v>145976</v>
      </c>
      <c r="E176" s="58">
        <v>0</v>
      </c>
      <c r="F176" s="58">
        <v>0</v>
      </c>
      <c r="G176" s="59">
        <f t="shared" si="4"/>
        <v>71567.649999999994</v>
      </c>
      <c r="H176" s="59">
        <f t="shared" si="5"/>
        <v>0</v>
      </c>
      <c r="I176" s="60">
        <v>0</v>
      </c>
    </row>
    <row r="177" spans="1:9" x14ac:dyDescent="0.2">
      <c r="A177" s="57">
        <v>151</v>
      </c>
      <c r="B177" s="58">
        <f>PRRAS!C187</f>
        <v>176</v>
      </c>
      <c r="C177" s="58">
        <f>PRRAS!D187</f>
        <v>549053</v>
      </c>
      <c r="D177" s="58">
        <f>PRRAS!E187</f>
        <v>208569</v>
      </c>
      <c r="E177" s="58">
        <v>0</v>
      </c>
      <c r="F177" s="58">
        <v>0</v>
      </c>
      <c r="G177" s="59">
        <f t="shared" si="4"/>
        <v>170049.61599999998</v>
      </c>
      <c r="H177" s="59">
        <f t="shared" si="5"/>
        <v>0</v>
      </c>
      <c r="I177" s="60">
        <v>0</v>
      </c>
    </row>
    <row r="178" spans="1:9" x14ac:dyDescent="0.2">
      <c r="A178" s="57">
        <v>151</v>
      </c>
      <c r="B178" s="58">
        <f>PRRAS!C188</f>
        <v>177</v>
      </c>
      <c r="C178" s="58">
        <f>PRRAS!D188</f>
        <v>75737</v>
      </c>
      <c r="D178" s="58">
        <f>PRRAS!E188</f>
        <v>92584</v>
      </c>
      <c r="E178" s="58">
        <v>0</v>
      </c>
      <c r="F178" s="58">
        <v>0</v>
      </c>
      <c r="G178" s="59">
        <f t="shared" si="4"/>
        <v>46180.184999999998</v>
      </c>
      <c r="H178" s="59">
        <f t="shared" si="5"/>
        <v>0</v>
      </c>
      <c r="I178" s="60">
        <v>0</v>
      </c>
    </row>
    <row r="179" spans="1:9" x14ac:dyDescent="0.2">
      <c r="A179" s="57">
        <v>151</v>
      </c>
      <c r="B179" s="58">
        <f>PRRAS!C189</f>
        <v>178</v>
      </c>
      <c r="C179" s="58">
        <f>PRRAS!D189</f>
        <v>185156</v>
      </c>
      <c r="D179" s="58">
        <f>PRRAS!E189</f>
        <v>135451</v>
      </c>
      <c r="E179" s="58">
        <v>0</v>
      </c>
      <c r="F179" s="58">
        <v>0</v>
      </c>
      <c r="G179" s="59">
        <f t="shared" si="4"/>
        <v>81178.323999999993</v>
      </c>
      <c r="H179" s="59">
        <f t="shared" si="5"/>
        <v>0</v>
      </c>
      <c r="I179" s="60">
        <v>0</v>
      </c>
    </row>
    <row r="180" spans="1:9" x14ac:dyDescent="0.2">
      <c r="A180" s="57">
        <v>151</v>
      </c>
      <c r="B180" s="58">
        <f>PRRAS!C190</f>
        <v>179</v>
      </c>
      <c r="C180" s="58">
        <f>PRRAS!D190</f>
        <v>65345</v>
      </c>
      <c r="D180" s="58">
        <f>PRRAS!E190</f>
        <v>79067</v>
      </c>
      <c r="E180" s="58">
        <v>0</v>
      </c>
      <c r="F180" s="58">
        <v>0</v>
      </c>
      <c r="G180" s="59">
        <f t="shared" si="4"/>
        <v>40002.741000000002</v>
      </c>
      <c r="H180" s="59">
        <f t="shared" si="5"/>
        <v>0</v>
      </c>
      <c r="I180" s="60">
        <v>0</v>
      </c>
    </row>
    <row r="181" spans="1:9" x14ac:dyDescent="0.2">
      <c r="A181" s="57">
        <v>151</v>
      </c>
      <c r="B181" s="58">
        <f>PRRAS!C191</f>
        <v>180</v>
      </c>
      <c r="C181" s="58">
        <f>PRRAS!D191</f>
        <v>2958</v>
      </c>
      <c r="D181" s="58">
        <f>PRRAS!E191</f>
        <v>13590</v>
      </c>
      <c r="E181" s="58">
        <v>0</v>
      </c>
      <c r="F181" s="58">
        <v>0</v>
      </c>
      <c r="G181" s="59">
        <f t="shared" si="4"/>
        <v>5424.84</v>
      </c>
      <c r="H181" s="59">
        <f t="shared" si="5"/>
        <v>0</v>
      </c>
      <c r="I181" s="60">
        <v>0</v>
      </c>
    </row>
    <row r="182" spans="1:9" x14ac:dyDescent="0.2">
      <c r="A182" s="57">
        <v>151</v>
      </c>
      <c r="B182" s="58">
        <f>PRRAS!C192</f>
        <v>181</v>
      </c>
      <c r="C182" s="58">
        <f>PRRAS!D192</f>
        <v>4116360</v>
      </c>
      <c r="D182" s="58">
        <f>PRRAS!E192</f>
        <v>4049318</v>
      </c>
      <c r="E182" s="58">
        <v>0</v>
      </c>
      <c r="F182" s="58">
        <v>0</v>
      </c>
      <c r="G182" s="59">
        <f t="shared" si="4"/>
        <v>2210914.2760000001</v>
      </c>
      <c r="H182" s="59">
        <f t="shared" si="5"/>
        <v>0</v>
      </c>
      <c r="I182" s="60">
        <v>0</v>
      </c>
    </row>
    <row r="183" spans="1:9" x14ac:dyDescent="0.2">
      <c r="A183" s="57">
        <v>151</v>
      </c>
      <c r="B183" s="58">
        <f>PRRAS!C193</f>
        <v>182</v>
      </c>
      <c r="C183" s="58">
        <f>PRRAS!D193</f>
        <v>39126</v>
      </c>
      <c r="D183" s="58">
        <f>PRRAS!E193</f>
        <v>25045</v>
      </c>
      <c r="E183" s="58">
        <v>0</v>
      </c>
      <c r="F183" s="58">
        <v>0</v>
      </c>
      <c r="G183" s="59">
        <f t="shared" si="4"/>
        <v>16237.312</v>
      </c>
      <c r="H183" s="59">
        <f t="shared" si="5"/>
        <v>0</v>
      </c>
      <c r="I183" s="60">
        <v>0</v>
      </c>
    </row>
    <row r="184" spans="1:9" x14ac:dyDescent="0.2">
      <c r="A184" s="57">
        <v>151</v>
      </c>
      <c r="B184" s="58">
        <f>PRRAS!C194</f>
        <v>183</v>
      </c>
      <c r="C184" s="58">
        <f>PRRAS!D194</f>
        <v>371705</v>
      </c>
      <c r="D184" s="58">
        <f>PRRAS!E194</f>
        <v>530453</v>
      </c>
      <c r="E184" s="58">
        <v>0</v>
      </c>
      <c r="F184" s="58">
        <v>0</v>
      </c>
      <c r="G184" s="59">
        <f t="shared" si="4"/>
        <v>262167.81299999997</v>
      </c>
      <c r="H184" s="59">
        <f t="shared" si="5"/>
        <v>0</v>
      </c>
      <c r="I184" s="60">
        <v>0</v>
      </c>
    </row>
    <row r="185" spans="1:9" x14ac:dyDescent="0.2">
      <c r="A185" s="57">
        <v>151</v>
      </c>
      <c r="B185" s="58">
        <f>PRRAS!C195</f>
        <v>184</v>
      </c>
      <c r="C185" s="58">
        <f>PRRAS!D195</f>
        <v>210888</v>
      </c>
      <c r="D185" s="58">
        <f>PRRAS!E195</f>
        <v>263623</v>
      </c>
      <c r="E185" s="58">
        <v>0</v>
      </c>
      <c r="F185" s="58">
        <v>0</v>
      </c>
      <c r="G185" s="59">
        <f t="shared" si="4"/>
        <v>135816.65599999999</v>
      </c>
      <c r="H185" s="59">
        <f t="shared" si="5"/>
        <v>0</v>
      </c>
      <c r="I185" s="60">
        <v>0</v>
      </c>
    </row>
    <row r="186" spans="1:9" x14ac:dyDescent="0.2">
      <c r="A186" s="57">
        <v>151</v>
      </c>
      <c r="B186" s="58">
        <f>PRRAS!C196</f>
        <v>185</v>
      </c>
      <c r="C186" s="58">
        <f>PRRAS!D196</f>
        <v>258992</v>
      </c>
      <c r="D186" s="58">
        <f>PRRAS!E196</f>
        <v>918092</v>
      </c>
      <c r="E186" s="58">
        <v>0</v>
      </c>
      <c r="F186" s="58">
        <v>0</v>
      </c>
      <c r="G186" s="59">
        <f t="shared" si="4"/>
        <v>387607.56</v>
      </c>
      <c r="H186" s="59">
        <f t="shared" si="5"/>
        <v>0</v>
      </c>
      <c r="I186" s="60">
        <v>0</v>
      </c>
    </row>
    <row r="187" spans="1:9" x14ac:dyDescent="0.2">
      <c r="A187" s="57">
        <v>151</v>
      </c>
      <c r="B187" s="58">
        <f>PRRAS!C197</f>
        <v>186</v>
      </c>
      <c r="C187" s="58">
        <f>PRRAS!D197</f>
        <v>97467</v>
      </c>
      <c r="D187" s="58">
        <f>PRRAS!E197</f>
        <v>99072</v>
      </c>
      <c r="E187" s="58">
        <v>0</v>
      </c>
      <c r="F187" s="58">
        <v>0</v>
      </c>
      <c r="G187" s="59">
        <f t="shared" si="4"/>
        <v>54983.646000000001</v>
      </c>
      <c r="H187" s="59">
        <f t="shared" si="5"/>
        <v>0</v>
      </c>
      <c r="I187" s="60">
        <v>0</v>
      </c>
    </row>
    <row r="188" spans="1:9" x14ac:dyDescent="0.2">
      <c r="A188" s="57">
        <v>151</v>
      </c>
      <c r="B188" s="58">
        <f>PRRAS!C198</f>
        <v>187</v>
      </c>
      <c r="C188" s="58">
        <f>PRRAS!D198</f>
        <v>65069</v>
      </c>
      <c r="D188" s="58">
        <f>PRRAS!E198</f>
        <v>69662</v>
      </c>
      <c r="E188" s="58">
        <v>0</v>
      </c>
      <c r="F188" s="58">
        <v>0</v>
      </c>
      <c r="G188" s="59">
        <f t="shared" si="4"/>
        <v>38221.491000000002</v>
      </c>
      <c r="H188" s="59">
        <f t="shared" si="5"/>
        <v>0</v>
      </c>
      <c r="I188" s="60">
        <v>0</v>
      </c>
    </row>
    <row r="189" spans="1:9" x14ac:dyDescent="0.2">
      <c r="A189" s="57">
        <v>151</v>
      </c>
      <c r="B189" s="58">
        <f>PRRAS!C199</f>
        <v>188</v>
      </c>
      <c r="C189" s="58">
        <f>PRRAS!D199</f>
        <v>57696</v>
      </c>
      <c r="D189" s="58">
        <f>PRRAS!E199</f>
        <v>54713</v>
      </c>
      <c r="E189" s="58">
        <v>0</v>
      </c>
      <c r="F189" s="58">
        <v>0</v>
      </c>
      <c r="G189" s="59">
        <f t="shared" si="4"/>
        <v>31418.936000000002</v>
      </c>
      <c r="H189" s="59">
        <f t="shared" si="5"/>
        <v>0</v>
      </c>
      <c r="I189" s="60">
        <v>0</v>
      </c>
    </row>
    <row r="190" spans="1:9" x14ac:dyDescent="0.2">
      <c r="A190" s="57">
        <v>151</v>
      </c>
      <c r="B190" s="58">
        <f>PRRAS!C200</f>
        <v>189</v>
      </c>
      <c r="C190" s="58">
        <f>PRRAS!D200</f>
        <v>2740</v>
      </c>
      <c r="D190" s="58">
        <f>PRRAS!E200</f>
        <v>2980</v>
      </c>
      <c r="E190" s="58">
        <v>0</v>
      </c>
      <c r="F190" s="58">
        <v>0</v>
      </c>
      <c r="G190" s="59">
        <f t="shared" si="4"/>
        <v>1644.3</v>
      </c>
      <c r="H190" s="59">
        <f t="shared" si="5"/>
        <v>0</v>
      </c>
      <c r="I190" s="60">
        <v>0</v>
      </c>
    </row>
    <row r="191" spans="1:9" x14ac:dyDescent="0.2">
      <c r="A191" s="57">
        <v>151</v>
      </c>
      <c r="B191" s="58">
        <f>PRRAS!C201</f>
        <v>190</v>
      </c>
      <c r="C191" s="58">
        <f>PRRAS!D201</f>
        <v>24175</v>
      </c>
      <c r="D191" s="58">
        <f>PRRAS!E201</f>
        <v>40701</v>
      </c>
      <c r="E191" s="58">
        <v>0</v>
      </c>
      <c r="F191" s="58">
        <v>0</v>
      </c>
      <c r="G191" s="59">
        <f t="shared" si="4"/>
        <v>20059.63</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11845</v>
      </c>
      <c r="D193" s="58">
        <f>PRRAS!E203</f>
        <v>650964</v>
      </c>
      <c r="E193" s="58">
        <v>0</v>
      </c>
      <c r="F193" s="58">
        <v>0</v>
      </c>
      <c r="G193" s="59">
        <f t="shared" si="4"/>
        <v>252244.416</v>
      </c>
      <c r="H193" s="59">
        <f t="shared" si="5"/>
        <v>0</v>
      </c>
      <c r="I193" s="60">
        <v>0</v>
      </c>
    </row>
    <row r="194" spans="1:9" x14ac:dyDescent="0.2">
      <c r="A194" s="57">
        <v>151</v>
      </c>
      <c r="B194" s="58">
        <f>PRRAS!C204</f>
        <v>193</v>
      </c>
      <c r="C194" s="58">
        <f>PRRAS!D204</f>
        <v>44048</v>
      </c>
      <c r="D194" s="58">
        <f>PRRAS!E204</f>
        <v>42426</v>
      </c>
      <c r="E194" s="58">
        <v>0</v>
      </c>
      <c r="F194" s="58">
        <v>0</v>
      </c>
      <c r="G194" s="59">
        <f t="shared" ref="G194:G257" si="6">(B194/1000)*(C194*1+D194*2)</f>
        <v>24877.7</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44048</v>
      </c>
      <c r="D208" s="58">
        <f>PRRAS!E218</f>
        <v>42426</v>
      </c>
      <c r="E208" s="58">
        <v>0</v>
      </c>
      <c r="F208" s="58">
        <v>0</v>
      </c>
      <c r="G208" s="59">
        <f t="shared" si="6"/>
        <v>26682.3</v>
      </c>
      <c r="H208" s="59">
        <f t="shared" si="7"/>
        <v>0</v>
      </c>
      <c r="I208" s="60">
        <v>0</v>
      </c>
    </row>
    <row r="209" spans="1:9" x14ac:dyDescent="0.2">
      <c r="A209" s="57">
        <v>151</v>
      </c>
      <c r="B209" s="58">
        <f>PRRAS!C219</f>
        <v>208</v>
      </c>
      <c r="C209" s="58">
        <f>PRRAS!D219</f>
        <v>43988</v>
      </c>
      <c r="D209" s="58">
        <f>PRRAS!E219</f>
        <v>42413</v>
      </c>
      <c r="E209" s="58">
        <v>0</v>
      </c>
      <c r="F209" s="58">
        <v>0</v>
      </c>
      <c r="G209" s="59">
        <f t="shared" si="6"/>
        <v>26793.311999999998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60</v>
      </c>
      <c r="D211" s="58">
        <f>PRRAS!E221</f>
        <v>13</v>
      </c>
      <c r="E211" s="58">
        <v>0</v>
      </c>
      <c r="F211" s="58">
        <v>0</v>
      </c>
      <c r="G211" s="59">
        <f t="shared" si="6"/>
        <v>18.059999999999999</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172971</v>
      </c>
      <c r="D247" s="58">
        <f>PRRAS!E257</f>
        <v>199937</v>
      </c>
      <c r="E247" s="58">
        <v>0</v>
      </c>
      <c r="F247" s="58">
        <v>0</v>
      </c>
      <c r="G247" s="59">
        <f t="shared" si="6"/>
        <v>140919.87</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172971</v>
      </c>
      <c r="D254" s="58">
        <f>PRRAS!E264</f>
        <v>199937</v>
      </c>
      <c r="E254" s="58">
        <v>0</v>
      </c>
      <c r="F254" s="58">
        <v>0</v>
      </c>
      <c r="G254" s="59">
        <f t="shared" si="6"/>
        <v>144929.785</v>
      </c>
      <c r="H254" s="59">
        <f t="shared" si="7"/>
        <v>0</v>
      </c>
      <c r="I254" s="60">
        <v>0</v>
      </c>
    </row>
    <row r="255" spans="1:9" x14ac:dyDescent="0.2">
      <c r="A255" s="57">
        <v>151</v>
      </c>
      <c r="B255" s="58">
        <f>PRRAS!C265</f>
        <v>254</v>
      </c>
      <c r="C255" s="58">
        <f>PRRAS!D265</f>
        <v>172971</v>
      </c>
      <c r="D255" s="58">
        <f>PRRAS!E265</f>
        <v>199937</v>
      </c>
      <c r="E255" s="58">
        <v>0</v>
      </c>
      <c r="F255" s="58">
        <v>0</v>
      </c>
      <c r="G255" s="59">
        <f t="shared" si="6"/>
        <v>145502.63</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4360</v>
      </c>
      <c r="D258" s="58">
        <f>PRRAS!E268</f>
        <v>3095</v>
      </c>
      <c r="E258" s="58">
        <v>0</v>
      </c>
      <c r="F258" s="58">
        <v>0</v>
      </c>
      <c r="G258" s="59">
        <f t="shared" ref="G258:G321" si="8">(B258/1000)*(C258*1+D258*2)</f>
        <v>2711.35</v>
      </c>
      <c r="H258" s="59">
        <f t="shared" ref="H258:H321" si="9">ABS(C258-ROUND(C258,0))+ABS(D258-ROUND(D258,0))</f>
        <v>0</v>
      </c>
      <c r="I258" s="60">
        <v>0</v>
      </c>
    </row>
    <row r="259" spans="1:9" x14ac:dyDescent="0.2">
      <c r="A259" s="57">
        <v>151</v>
      </c>
      <c r="B259" s="58">
        <f>PRRAS!C269</f>
        <v>258</v>
      </c>
      <c r="C259" s="58">
        <f>PRRAS!D269</f>
        <v>4360</v>
      </c>
      <c r="D259" s="58">
        <f>PRRAS!E269</f>
        <v>3095</v>
      </c>
      <c r="E259" s="58">
        <v>0</v>
      </c>
      <c r="F259" s="58">
        <v>0</v>
      </c>
      <c r="G259" s="59">
        <f t="shared" si="8"/>
        <v>2721.9</v>
      </c>
      <c r="H259" s="59">
        <f t="shared" si="9"/>
        <v>0</v>
      </c>
      <c r="I259" s="60">
        <v>0</v>
      </c>
    </row>
    <row r="260" spans="1:9" x14ac:dyDescent="0.2">
      <c r="A260" s="57">
        <v>151</v>
      </c>
      <c r="B260" s="58">
        <f>PRRAS!C270</f>
        <v>259</v>
      </c>
      <c r="C260" s="58">
        <f>PRRAS!D270</f>
        <v>4360</v>
      </c>
      <c r="D260" s="58">
        <f>PRRAS!E270</f>
        <v>3095</v>
      </c>
      <c r="E260" s="58">
        <v>0</v>
      </c>
      <c r="F260" s="58">
        <v>0</v>
      </c>
      <c r="G260" s="59">
        <f t="shared" si="8"/>
        <v>2732.4500000000003</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22632528</v>
      </c>
      <c r="D282" s="58">
        <f>PRRAS!E292</f>
        <v>24703947</v>
      </c>
      <c r="E282" s="58">
        <v>0</v>
      </c>
      <c r="F282" s="58">
        <v>0</v>
      </c>
      <c r="G282" s="59">
        <f t="shared" si="8"/>
        <v>20243358.582000002</v>
      </c>
      <c r="H282" s="59">
        <f t="shared" si="9"/>
        <v>0</v>
      </c>
      <c r="I282" s="60">
        <v>0</v>
      </c>
    </row>
    <row r="283" spans="1:9" x14ac:dyDescent="0.2">
      <c r="A283" s="57">
        <v>151</v>
      </c>
      <c r="B283" s="58">
        <f>PRRAS!C293</f>
        <v>282</v>
      </c>
      <c r="C283" s="58">
        <f>PRRAS!D293</f>
        <v>421153</v>
      </c>
      <c r="D283" s="58">
        <f>PRRAS!E293</f>
        <v>0</v>
      </c>
      <c r="E283" s="58">
        <v>0</v>
      </c>
      <c r="F283" s="58">
        <v>0</v>
      </c>
      <c r="G283" s="59">
        <f t="shared" si="8"/>
        <v>118765.14599999999</v>
      </c>
      <c r="H283" s="59">
        <f t="shared" si="9"/>
        <v>0</v>
      </c>
      <c r="I283" s="60">
        <v>0</v>
      </c>
    </row>
    <row r="284" spans="1:9" x14ac:dyDescent="0.2">
      <c r="A284" s="57">
        <v>151</v>
      </c>
      <c r="B284" s="58">
        <f>PRRAS!C294</f>
        <v>283</v>
      </c>
      <c r="C284" s="58">
        <f>PRRAS!D294</f>
        <v>0</v>
      </c>
      <c r="D284" s="58">
        <f>PRRAS!E294</f>
        <v>681346</v>
      </c>
      <c r="E284" s="58">
        <v>0</v>
      </c>
      <c r="F284" s="58">
        <v>0</v>
      </c>
      <c r="G284" s="59">
        <f t="shared" si="8"/>
        <v>385641.83599999995</v>
      </c>
      <c r="H284" s="59">
        <f t="shared" si="9"/>
        <v>0</v>
      </c>
      <c r="I284" s="60">
        <v>0</v>
      </c>
    </row>
    <row r="285" spans="1:9" x14ac:dyDescent="0.2">
      <c r="A285" s="57">
        <v>151</v>
      </c>
      <c r="B285" s="58">
        <f>PRRAS!C295</f>
        <v>284</v>
      </c>
      <c r="C285" s="58">
        <f>PRRAS!D295</f>
        <v>5575488</v>
      </c>
      <c r="D285" s="58">
        <f>PRRAS!E295</f>
        <v>5763721</v>
      </c>
      <c r="E285" s="58">
        <v>0</v>
      </c>
      <c r="F285" s="58">
        <v>0</v>
      </c>
      <c r="G285" s="59">
        <f t="shared" si="8"/>
        <v>4857232.1199999992</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232920</v>
      </c>
      <c r="D342" s="58">
        <f>PRRAS!E353</f>
        <v>498116</v>
      </c>
      <c r="E342" s="58">
        <v>0</v>
      </c>
      <c r="F342" s="58">
        <v>0</v>
      </c>
      <c r="G342" s="59">
        <f t="shared" si="10"/>
        <v>419140.83200000005</v>
      </c>
      <c r="H342" s="59">
        <f t="shared" si="11"/>
        <v>0</v>
      </c>
      <c r="I342" s="60">
        <v>0</v>
      </c>
    </row>
    <row r="343" spans="1:9" x14ac:dyDescent="0.2">
      <c r="A343" s="57">
        <v>151</v>
      </c>
      <c r="B343" s="58">
        <f>PRRAS!C354</f>
        <v>342</v>
      </c>
      <c r="C343" s="58">
        <f>PRRAS!D354</f>
        <v>18842</v>
      </c>
      <c r="D343" s="58">
        <f>PRRAS!E354</f>
        <v>22739</v>
      </c>
      <c r="E343" s="58">
        <v>0</v>
      </c>
      <c r="F343" s="58">
        <v>0</v>
      </c>
      <c r="G343" s="59">
        <f t="shared" si="10"/>
        <v>21997.440000000002</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18842</v>
      </c>
      <c r="D348" s="58">
        <f>PRRAS!E359</f>
        <v>22739</v>
      </c>
      <c r="E348" s="58">
        <v>0</v>
      </c>
      <c r="F348" s="58">
        <v>0</v>
      </c>
      <c r="G348" s="59">
        <f t="shared" si="10"/>
        <v>22319.039999999997</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18842</v>
      </c>
      <c r="D351" s="58">
        <f>PRRAS!E362</f>
        <v>22739</v>
      </c>
      <c r="E351" s="58">
        <v>0</v>
      </c>
      <c r="F351" s="58">
        <v>0</v>
      </c>
      <c r="G351" s="59">
        <f t="shared" si="10"/>
        <v>22512</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214078</v>
      </c>
      <c r="D355" s="58">
        <f>PRRAS!E366</f>
        <v>475377</v>
      </c>
      <c r="E355" s="58">
        <v>0</v>
      </c>
      <c r="F355" s="58">
        <v>0</v>
      </c>
      <c r="G355" s="59">
        <f t="shared" si="10"/>
        <v>412350.52799999999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189214</v>
      </c>
      <c r="D361" s="58">
        <f>PRRAS!E372</f>
        <v>458316</v>
      </c>
      <c r="E361" s="58">
        <v>0</v>
      </c>
      <c r="F361" s="58">
        <v>0</v>
      </c>
      <c r="G361" s="59">
        <f t="shared" si="10"/>
        <v>398104.56</v>
      </c>
      <c r="H361" s="59">
        <f t="shared" si="11"/>
        <v>0</v>
      </c>
      <c r="I361" s="60">
        <v>0</v>
      </c>
    </row>
    <row r="362" spans="1:9" x14ac:dyDescent="0.2">
      <c r="A362" s="57">
        <v>151</v>
      </c>
      <c r="B362" s="58">
        <f>PRRAS!C373</f>
        <v>361</v>
      </c>
      <c r="C362" s="58">
        <f>PRRAS!D373</f>
        <v>36366</v>
      </c>
      <c r="D362" s="58">
        <f>PRRAS!E373</f>
        <v>126334</v>
      </c>
      <c r="E362" s="58">
        <v>0</v>
      </c>
      <c r="F362" s="58">
        <v>0</v>
      </c>
      <c r="G362" s="59">
        <f t="shared" si="10"/>
        <v>104341.27399999999</v>
      </c>
      <c r="H362" s="59">
        <f t="shared" si="11"/>
        <v>0</v>
      </c>
      <c r="I362" s="60">
        <v>0</v>
      </c>
    </row>
    <row r="363" spans="1:9" x14ac:dyDescent="0.2">
      <c r="A363" s="57">
        <v>151</v>
      </c>
      <c r="B363" s="58">
        <f>PRRAS!C374</f>
        <v>362</v>
      </c>
      <c r="C363" s="58">
        <f>PRRAS!D374</f>
        <v>6661</v>
      </c>
      <c r="D363" s="58">
        <f>PRRAS!E374</f>
        <v>9698</v>
      </c>
      <c r="E363" s="58">
        <v>0</v>
      </c>
      <c r="F363" s="58">
        <v>0</v>
      </c>
      <c r="G363" s="59">
        <f t="shared" si="10"/>
        <v>9432.634</v>
      </c>
      <c r="H363" s="59">
        <f t="shared" si="11"/>
        <v>0</v>
      </c>
      <c r="I363" s="60">
        <v>0</v>
      </c>
    </row>
    <row r="364" spans="1:9" x14ac:dyDescent="0.2">
      <c r="A364" s="57">
        <v>151</v>
      </c>
      <c r="B364" s="58">
        <f>PRRAS!C375</f>
        <v>363</v>
      </c>
      <c r="C364" s="58">
        <f>PRRAS!D375</f>
        <v>0</v>
      </c>
      <c r="D364" s="58">
        <f>PRRAS!E375</f>
        <v>2088</v>
      </c>
      <c r="E364" s="58">
        <v>0</v>
      </c>
      <c r="F364" s="58">
        <v>0</v>
      </c>
      <c r="G364" s="59">
        <f t="shared" si="10"/>
        <v>1515.8879999999999</v>
      </c>
      <c r="H364" s="59">
        <f t="shared" si="11"/>
        <v>0</v>
      </c>
      <c r="I364" s="60">
        <v>0</v>
      </c>
    </row>
    <row r="365" spans="1:9" x14ac:dyDescent="0.2">
      <c r="A365" s="57">
        <v>151</v>
      </c>
      <c r="B365" s="58">
        <f>PRRAS!C376</f>
        <v>364</v>
      </c>
      <c r="C365" s="58">
        <f>PRRAS!D376</f>
        <v>55635</v>
      </c>
      <c r="D365" s="58">
        <f>PRRAS!E376</f>
        <v>2085</v>
      </c>
      <c r="E365" s="58">
        <v>0</v>
      </c>
      <c r="F365" s="58">
        <v>0</v>
      </c>
      <c r="G365" s="59">
        <f t="shared" si="10"/>
        <v>21769.02</v>
      </c>
      <c r="H365" s="59">
        <f t="shared" si="11"/>
        <v>0</v>
      </c>
      <c r="I365" s="60">
        <v>0</v>
      </c>
    </row>
    <row r="366" spans="1:9" x14ac:dyDescent="0.2">
      <c r="A366" s="57">
        <v>151</v>
      </c>
      <c r="B366" s="58">
        <f>PRRAS!C377</f>
        <v>365</v>
      </c>
      <c r="C366" s="58">
        <f>PRRAS!D377</f>
        <v>58847</v>
      </c>
      <c r="D366" s="58">
        <f>PRRAS!E377</f>
        <v>115973</v>
      </c>
      <c r="E366" s="58">
        <v>0</v>
      </c>
      <c r="F366" s="58">
        <v>0</v>
      </c>
      <c r="G366" s="59">
        <f t="shared" si="10"/>
        <v>106139.44499999999</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31705</v>
      </c>
      <c r="D368" s="58">
        <f>PRRAS!E379</f>
        <v>202138</v>
      </c>
      <c r="E368" s="58">
        <v>0</v>
      </c>
      <c r="F368" s="58">
        <v>0</v>
      </c>
      <c r="G368" s="59">
        <f t="shared" si="10"/>
        <v>160005.027</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24864</v>
      </c>
      <c r="D375" s="58">
        <f>PRRAS!E386</f>
        <v>17061</v>
      </c>
      <c r="E375" s="58">
        <v>0</v>
      </c>
      <c r="F375" s="58">
        <v>0</v>
      </c>
      <c r="G375" s="59">
        <f t="shared" si="10"/>
        <v>22060.763999999999</v>
      </c>
      <c r="H375" s="59">
        <f t="shared" si="11"/>
        <v>0</v>
      </c>
      <c r="I375" s="60">
        <v>0</v>
      </c>
    </row>
    <row r="376" spans="1:9" x14ac:dyDescent="0.2">
      <c r="A376" s="57">
        <v>151</v>
      </c>
      <c r="B376" s="58">
        <f>PRRAS!C387</f>
        <v>375</v>
      </c>
      <c r="C376" s="58">
        <f>PRRAS!D387</f>
        <v>24864</v>
      </c>
      <c r="D376" s="58">
        <f>PRRAS!E387</f>
        <v>17061</v>
      </c>
      <c r="E376" s="58">
        <v>0</v>
      </c>
      <c r="F376" s="58">
        <v>0</v>
      </c>
      <c r="G376" s="59">
        <f t="shared" si="10"/>
        <v>22119.75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232920</v>
      </c>
      <c r="D400" s="58">
        <f>PRRAS!E411</f>
        <v>498116</v>
      </c>
      <c r="E400" s="58">
        <v>0</v>
      </c>
      <c r="F400" s="58">
        <v>0</v>
      </c>
      <c r="G400" s="59">
        <f t="shared" si="12"/>
        <v>490431.64800000004</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23053681</v>
      </c>
      <c r="D404" s="58">
        <f>PRRAS!E415</f>
        <v>24022601</v>
      </c>
      <c r="E404" s="58">
        <v>0</v>
      </c>
      <c r="F404" s="58">
        <v>0</v>
      </c>
      <c r="G404" s="59">
        <f t="shared" si="12"/>
        <v>28652849.849000003</v>
      </c>
      <c r="H404" s="59">
        <f t="shared" si="13"/>
        <v>0</v>
      </c>
      <c r="I404" s="60">
        <v>0</v>
      </c>
    </row>
    <row r="405" spans="1:9" x14ac:dyDescent="0.2">
      <c r="A405" s="57">
        <v>151</v>
      </c>
      <c r="B405" s="58">
        <f>PRRAS!C416</f>
        <v>404</v>
      </c>
      <c r="C405" s="58">
        <f>PRRAS!D416</f>
        <v>22865448</v>
      </c>
      <c r="D405" s="58">
        <f>PRRAS!E416</f>
        <v>25202063</v>
      </c>
      <c r="E405" s="58">
        <v>0</v>
      </c>
      <c r="F405" s="58">
        <v>0</v>
      </c>
      <c r="G405" s="59">
        <f t="shared" si="12"/>
        <v>29600907.896000002</v>
      </c>
      <c r="H405" s="59">
        <f t="shared" si="13"/>
        <v>0</v>
      </c>
      <c r="I405" s="60">
        <v>0</v>
      </c>
    </row>
    <row r="406" spans="1:9" x14ac:dyDescent="0.2">
      <c r="A406" s="57">
        <v>151</v>
      </c>
      <c r="B406" s="58">
        <f>PRRAS!C417</f>
        <v>405</v>
      </c>
      <c r="C406" s="58">
        <f>PRRAS!D417</f>
        <v>188233</v>
      </c>
      <c r="D406" s="58">
        <f>PRRAS!E417</f>
        <v>0</v>
      </c>
      <c r="E406" s="58">
        <v>0</v>
      </c>
      <c r="F406" s="58">
        <v>0</v>
      </c>
      <c r="G406" s="59">
        <f t="shared" si="12"/>
        <v>76234.365000000005</v>
      </c>
      <c r="H406" s="59">
        <f t="shared" si="13"/>
        <v>0</v>
      </c>
      <c r="I406" s="60">
        <v>0</v>
      </c>
    </row>
    <row r="407" spans="1:9" x14ac:dyDescent="0.2">
      <c r="A407" s="57">
        <v>151</v>
      </c>
      <c r="B407" s="58">
        <f>PRRAS!C418</f>
        <v>406</v>
      </c>
      <c r="C407" s="58">
        <f>PRRAS!D418</f>
        <v>0</v>
      </c>
      <c r="D407" s="58">
        <f>PRRAS!E418</f>
        <v>1179462</v>
      </c>
      <c r="E407" s="58">
        <v>0</v>
      </c>
      <c r="F407" s="58">
        <v>0</v>
      </c>
      <c r="G407" s="59">
        <f t="shared" si="12"/>
        <v>957723.14400000009</v>
      </c>
      <c r="H407" s="59">
        <f t="shared" si="13"/>
        <v>0</v>
      </c>
      <c r="I407" s="60">
        <v>0</v>
      </c>
    </row>
    <row r="408" spans="1:9" x14ac:dyDescent="0.2">
      <c r="A408" s="57">
        <v>151</v>
      </c>
      <c r="B408" s="58">
        <f>PRRAS!C419</f>
        <v>407</v>
      </c>
      <c r="C408" s="58">
        <f>PRRAS!D419</f>
        <v>5575488</v>
      </c>
      <c r="D408" s="58">
        <f>PRRAS!E419</f>
        <v>5763721</v>
      </c>
      <c r="E408" s="58">
        <v>0</v>
      </c>
      <c r="F408" s="58">
        <v>0</v>
      </c>
      <c r="G408" s="59">
        <f t="shared" si="12"/>
        <v>6960892.5099999998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23053681</v>
      </c>
      <c r="D630" s="58">
        <f>PRRAS!E642</f>
        <v>24022601</v>
      </c>
      <c r="E630" s="58">
        <v>0</v>
      </c>
      <c r="F630" s="58">
        <v>0</v>
      </c>
      <c r="G630" s="59">
        <f t="shared" si="18"/>
        <v>44721197.406999998</v>
      </c>
      <c r="H630" s="59">
        <f t="shared" si="19"/>
        <v>0</v>
      </c>
      <c r="I630" s="60">
        <v>0</v>
      </c>
    </row>
    <row r="631" spans="1:9" x14ac:dyDescent="0.2">
      <c r="A631" s="57">
        <v>151</v>
      </c>
      <c r="B631" s="58">
        <f>PRRAS!C643</f>
        <v>630</v>
      </c>
      <c r="C631" s="58">
        <f>PRRAS!D643</f>
        <v>22865448</v>
      </c>
      <c r="D631" s="58">
        <f>PRRAS!E643</f>
        <v>25202063</v>
      </c>
      <c r="E631" s="58">
        <v>0</v>
      </c>
      <c r="F631" s="58">
        <v>0</v>
      </c>
      <c r="G631" s="59">
        <f t="shared" si="18"/>
        <v>46159831.619999997</v>
      </c>
      <c r="H631" s="59">
        <f t="shared" si="19"/>
        <v>0</v>
      </c>
      <c r="I631" s="60">
        <v>0</v>
      </c>
    </row>
    <row r="632" spans="1:9" x14ac:dyDescent="0.2">
      <c r="A632" s="57">
        <v>151</v>
      </c>
      <c r="B632" s="58">
        <f>PRRAS!C644</f>
        <v>631</v>
      </c>
      <c r="C632" s="58">
        <f>PRRAS!D644</f>
        <v>188233</v>
      </c>
      <c r="D632" s="58">
        <f>PRRAS!E644</f>
        <v>0</v>
      </c>
      <c r="E632" s="58">
        <v>0</v>
      </c>
      <c r="F632" s="58">
        <v>0</v>
      </c>
      <c r="G632" s="59">
        <f t="shared" si="18"/>
        <v>118775.023</v>
      </c>
      <c r="H632" s="59">
        <f t="shared" si="19"/>
        <v>0</v>
      </c>
      <c r="I632" s="60">
        <v>0</v>
      </c>
    </row>
    <row r="633" spans="1:9" x14ac:dyDescent="0.2">
      <c r="A633" s="57">
        <v>151</v>
      </c>
      <c r="B633" s="58">
        <f>PRRAS!C645</f>
        <v>632</v>
      </c>
      <c r="C633" s="58">
        <f>PRRAS!D645</f>
        <v>0</v>
      </c>
      <c r="D633" s="58">
        <f>PRRAS!E645</f>
        <v>1179462</v>
      </c>
      <c r="E633" s="58">
        <v>0</v>
      </c>
      <c r="F633" s="58">
        <v>0</v>
      </c>
      <c r="G633" s="59">
        <f t="shared" si="18"/>
        <v>1490839.9680000001</v>
      </c>
      <c r="H633" s="59">
        <f t="shared" si="19"/>
        <v>0</v>
      </c>
      <c r="I633" s="60">
        <v>0</v>
      </c>
    </row>
    <row r="634" spans="1:9" x14ac:dyDescent="0.2">
      <c r="A634" s="57">
        <v>151</v>
      </c>
      <c r="B634" s="58">
        <f>PRRAS!C646</f>
        <v>633</v>
      </c>
      <c r="C634" s="58">
        <f>PRRAS!D646</f>
        <v>5575488</v>
      </c>
      <c r="D634" s="58">
        <f>PRRAS!E646</f>
        <v>5763721</v>
      </c>
      <c r="E634" s="58">
        <v>0</v>
      </c>
      <c r="F634" s="58">
        <v>0</v>
      </c>
      <c r="G634" s="59">
        <f t="shared" si="18"/>
        <v>10826154.689999999</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5763721</v>
      </c>
      <c r="D636" s="58">
        <f>PRRAS!E648</f>
        <v>4584259</v>
      </c>
      <c r="E636" s="58">
        <v>0</v>
      </c>
      <c r="F636" s="58">
        <v>0</v>
      </c>
      <c r="G636" s="59">
        <f t="shared" si="18"/>
        <v>9481971.7650000006</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1353125</v>
      </c>
      <c r="D638" s="58">
        <f>PRRAS!E650</f>
        <v>1402058</v>
      </c>
      <c r="E638" s="58">
        <v>0</v>
      </c>
      <c r="F638" s="58">
        <v>0</v>
      </c>
      <c r="G638" s="59">
        <f t="shared" si="18"/>
        <v>2648162.517</v>
      </c>
      <c r="H638" s="59">
        <f t="shared" si="19"/>
        <v>0</v>
      </c>
      <c r="I638" s="60">
        <v>0</v>
      </c>
    </row>
    <row r="639" spans="1:9" x14ac:dyDescent="0.2">
      <c r="A639" s="57">
        <v>151</v>
      </c>
      <c r="B639" s="58">
        <f>PRRAS!C652</f>
        <v>638</v>
      </c>
      <c r="C639" s="58">
        <f>PRRAS!D652</f>
        <v>4749802</v>
      </c>
      <c r="D639" s="58">
        <f>PRRAS!E652</f>
        <v>5404651</v>
      </c>
      <c r="E639" s="58">
        <v>0</v>
      </c>
      <c r="F639" s="58">
        <v>0</v>
      </c>
      <c r="G639" s="59">
        <f t="shared" si="18"/>
        <v>9926708.352</v>
      </c>
      <c r="H639" s="59">
        <f t="shared" si="19"/>
        <v>0</v>
      </c>
      <c r="I639" s="60">
        <v>0</v>
      </c>
    </row>
    <row r="640" spans="1:9" x14ac:dyDescent="0.2">
      <c r="A640" s="57">
        <v>151</v>
      </c>
      <c r="B640" s="58">
        <f>PRRAS!C653</f>
        <v>639</v>
      </c>
      <c r="C640" s="58">
        <f>PRRAS!D653</f>
        <v>17135691</v>
      </c>
      <c r="D640" s="58">
        <f>PRRAS!E653</f>
        <v>16581519</v>
      </c>
      <c r="E640" s="58">
        <v>0</v>
      </c>
      <c r="F640" s="58">
        <v>0</v>
      </c>
      <c r="G640" s="59">
        <f t="shared" si="18"/>
        <v>32140887.831</v>
      </c>
      <c r="H640" s="59">
        <f t="shared" si="19"/>
        <v>0</v>
      </c>
      <c r="I640" s="60">
        <v>0</v>
      </c>
    </row>
    <row r="641" spans="1:9" x14ac:dyDescent="0.2">
      <c r="A641" s="57">
        <v>151</v>
      </c>
      <c r="B641" s="58">
        <f>PRRAS!C654</f>
        <v>640</v>
      </c>
      <c r="C641" s="58">
        <f>PRRAS!D654</f>
        <v>16480842</v>
      </c>
      <c r="D641" s="58">
        <f>PRRAS!E654</f>
        <v>17036056</v>
      </c>
      <c r="E641" s="58">
        <v>0</v>
      </c>
      <c r="F641" s="58">
        <v>0</v>
      </c>
      <c r="G641" s="59">
        <f t="shared" si="18"/>
        <v>32353890.560000002</v>
      </c>
      <c r="H641" s="59">
        <f t="shared" si="19"/>
        <v>0</v>
      </c>
      <c r="I641" s="60">
        <v>0</v>
      </c>
    </row>
    <row r="642" spans="1:9" x14ac:dyDescent="0.2">
      <c r="A642" s="57">
        <v>151</v>
      </c>
      <c r="B642" s="58">
        <f>PRRAS!C655</f>
        <v>641</v>
      </c>
      <c r="C642" s="58">
        <f>PRRAS!D655</f>
        <v>5404651</v>
      </c>
      <c r="D642" s="58">
        <f>PRRAS!E655</f>
        <v>4950114</v>
      </c>
      <c r="E642" s="58">
        <v>0</v>
      </c>
      <c r="F642" s="58">
        <v>0</v>
      </c>
      <c r="G642" s="59">
        <f t="shared" ref="G642:G705" si="20">(B642/1000)*(C642*1+D642*2)</f>
        <v>9810427.4389999993</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82</v>
      </c>
      <c r="D644" s="58">
        <f>PRRAS!E657</f>
        <v>87</v>
      </c>
      <c r="E644" s="58">
        <v>0</v>
      </c>
      <c r="F644" s="58">
        <v>0</v>
      </c>
      <c r="G644" s="59">
        <f t="shared" si="20"/>
        <v>164.608</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82</v>
      </c>
      <c r="D646" s="58">
        <f>PRRAS!E659</f>
        <v>85</v>
      </c>
      <c r="E646" s="58">
        <v>0</v>
      </c>
      <c r="F646" s="58">
        <v>0</v>
      </c>
      <c r="G646" s="59">
        <f t="shared" si="20"/>
        <v>162.54</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16200</v>
      </c>
      <c r="D651" s="58">
        <f>PRRAS!E664</f>
        <v>0</v>
      </c>
      <c r="E651" s="58">
        <v>0</v>
      </c>
      <c r="F651" s="58">
        <v>0</v>
      </c>
      <c r="G651" s="59">
        <f t="shared" si="20"/>
        <v>10530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161716</v>
      </c>
      <c r="D659" s="58">
        <f>PRRAS!E672</f>
        <v>7314</v>
      </c>
      <c r="E659" s="58">
        <v>0</v>
      </c>
      <c r="F659" s="58">
        <v>0</v>
      </c>
      <c r="G659" s="59">
        <f t="shared" si="20"/>
        <v>116034.352</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0</v>
      </c>
      <c r="D666" s="58">
        <f>PRRAS!E679</f>
        <v>1037500</v>
      </c>
      <c r="E666" s="58">
        <v>0</v>
      </c>
      <c r="F666" s="58">
        <v>0</v>
      </c>
      <c r="G666" s="59">
        <f t="shared" si="20"/>
        <v>1379875</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100000</v>
      </c>
      <c r="D668" s="58">
        <f>PRRAS!E681</f>
        <v>0</v>
      </c>
      <c r="E668" s="58">
        <v>0</v>
      </c>
      <c r="F668" s="58">
        <v>0</v>
      </c>
      <c r="G668" s="59">
        <f t="shared" si="20"/>
        <v>66700</v>
      </c>
      <c r="H668" s="59">
        <f t="shared" si="21"/>
        <v>0</v>
      </c>
      <c r="I668" s="60">
        <v>0</v>
      </c>
    </row>
    <row r="669" spans="1:9" x14ac:dyDescent="0.2">
      <c r="A669" s="57">
        <v>151</v>
      </c>
      <c r="B669" s="58">
        <f>PRRAS!C682</f>
        <v>668</v>
      </c>
      <c r="C669" s="58">
        <f>PRRAS!D682</f>
        <v>0</v>
      </c>
      <c r="D669" s="58">
        <f>PRRAS!E682</f>
        <v>400000</v>
      </c>
      <c r="E669" s="58">
        <v>0</v>
      </c>
      <c r="F669" s="58">
        <v>0</v>
      </c>
      <c r="G669" s="59">
        <f t="shared" si="20"/>
        <v>534400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9508456</v>
      </c>
      <c r="D685" s="58">
        <f>PRRAS!E698</f>
        <v>7879166</v>
      </c>
      <c r="E685" s="58">
        <v>0</v>
      </c>
      <c r="F685" s="58">
        <v>0</v>
      </c>
      <c r="G685" s="59">
        <f t="shared" si="20"/>
        <v>17282482.992000002</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2979</v>
      </c>
      <c r="D687" s="58">
        <f>PRRAS!E700</f>
        <v>2613</v>
      </c>
      <c r="E687" s="58">
        <v>0</v>
      </c>
      <c r="F687" s="58">
        <v>0</v>
      </c>
      <c r="G687" s="59">
        <f t="shared" si="20"/>
        <v>5628.63</v>
      </c>
      <c r="H687" s="59">
        <f t="shared" si="21"/>
        <v>0</v>
      </c>
      <c r="I687" s="60">
        <v>0</v>
      </c>
    </row>
    <row r="688" spans="1:9" x14ac:dyDescent="0.2">
      <c r="A688" s="57">
        <v>151</v>
      </c>
      <c r="B688" s="58">
        <f>PRRAS!C701</f>
        <v>687</v>
      </c>
      <c r="C688" s="58">
        <f>PRRAS!D701</f>
        <v>23978</v>
      </c>
      <c r="D688" s="58">
        <f>PRRAS!E701</f>
        <v>11963</v>
      </c>
      <c r="E688" s="58">
        <v>0</v>
      </c>
      <c r="F688" s="58">
        <v>0</v>
      </c>
      <c r="G688" s="59">
        <f t="shared" si="20"/>
        <v>32910.048000000003</v>
      </c>
      <c r="H688" s="59">
        <f t="shared" si="21"/>
        <v>0</v>
      </c>
      <c r="I688" s="60">
        <v>0</v>
      </c>
    </row>
    <row r="689" spans="1:9" x14ac:dyDescent="0.2">
      <c r="A689" s="57">
        <v>151</v>
      </c>
      <c r="B689" s="58">
        <f>PRRAS!C702</f>
        <v>688</v>
      </c>
      <c r="C689" s="58">
        <f>PRRAS!D702</f>
        <v>24021</v>
      </c>
      <c r="D689" s="58">
        <f>PRRAS!E702</f>
        <v>29884</v>
      </c>
      <c r="E689" s="58">
        <v>0</v>
      </c>
      <c r="F689" s="58">
        <v>0</v>
      </c>
      <c r="G689" s="59">
        <f t="shared" si="20"/>
        <v>57646.831999999995</v>
      </c>
      <c r="H689" s="59">
        <f t="shared" si="21"/>
        <v>0</v>
      </c>
      <c r="I689" s="60">
        <v>0</v>
      </c>
    </row>
    <row r="690" spans="1:9" x14ac:dyDescent="0.2">
      <c r="A690" s="57">
        <v>151</v>
      </c>
      <c r="B690" s="58">
        <f>PRRAS!C703</f>
        <v>689</v>
      </c>
      <c r="C690" s="58">
        <f>PRRAS!D703</f>
        <v>523037</v>
      </c>
      <c r="D690" s="58">
        <f>PRRAS!E703</f>
        <v>105008</v>
      </c>
      <c r="E690" s="58">
        <v>0</v>
      </c>
      <c r="F690" s="58">
        <v>0</v>
      </c>
      <c r="G690" s="59">
        <f t="shared" si="20"/>
        <v>505073.51699999993</v>
      </c>
      <c r="H690" s="59">
        <f t="shared" si="21"/>
        <v>0</v>
      </c>
      <c r="I690" s="60">
        <v>0</v>
      </c>
    </row>
    <row r="691" spans="1:9" x14ac:dyDescent="0.2">
      <c r="A691" s="57">
        <v>151</v>
      </c>
      <c r="B691" s="58">
        <f>PRRAS!C704</f>
        <v>690</v>
      </c>
      <c r="C691" s="58">
        <f>PRRAS!D704</f>
        <v>0</v>
      </c>
      <c r="D691" s="58">
        <f>PRRAS!E704</f>
        <v>1900</v>
      </c>
      <c r="E691" s="58">
        <v>0</v>
      </c>
      <c r="F691" s="58">
        <v>0</v>
      </c>
      <c r="G691" s="59">
        <f t="shared" si="20"/>
        <v>2622</v>
      </c>
      <c r="H691" s="59">
        <f t="shared" si="21"/>
        <v>0</v>
      </c>
      <c r="I691" s="60">
        <v>0</v>
      </c>
    </row>
    <row r="692" spans="1:9" x14ac:dyDescent="0.2">
      <c r="A692" s="57">
        <v>151</v>
      </c>
      <c r="B692" s="58">
        <f>PRRAS!C705</f>
        <v>691</v>
      </c>
      <c r="C692" s="58">
        <f>PRRAS!D705</f>
        <v>2645</v>
      </c>
      <c r="D692" s="58">
        <f>PRRAS!E705</f>
        <v>13590</v>
      </c>
      <c r="E692" s="58">
        <v>0</v>
      </c>
      <c r="F692" s="58">
        <v>0</v>
      </c>
      <c r="G692" s="59">
        <f t="shared" si="20"/>
        <v>20609.074999999997</v>
      </c>
      <c r="H692" s="59">
        <f t="shared" si="21"/>
        <v>0</v>
      </c>
      <c r="I692" s="60">
        <v>0</v>
      </c>
    </row>
    <row r="693" spans="1:9" x14ac:dyDescent="0.2">
      <c r="A693" s="57">
        <v>151</v>
      </c>
      <c r="B693" s="58">
        <f>PRRAS!C706</f>
        <v>692</v>
      </c>
      <c r="C693" s="58">
        <f>PRRAS!D706</f>
        <v>192361</v>
      </c>
      <c r="D693" s="58">
        <f>PRRAS!E706</f>
        <v>112530</v>
      </c>
      <c r="E693" s="58">
        <v>0</v>
      </c>
      <c r="F693" s="58">
        <v>0</v>
      </c>
      <c r="G693" s="59">
        <f t="shared" si="20"/>
        <v>288855.33199999999</v>
      </c>
      <c r="H693" s="59">
        <f t="shared" si="21"/>
        <v>0</v>
      </c>
      <c r="I693" s="60">
        <v>0</v>
      </c>
    </row>
    <row r="694" spans="1:9" x14ac:dyDescent="0.2">
      <c r="A694" s="57">
        <v>151</v>
      </c>
      <c r="B694" s="58">
        <f>PRRAS!C707</f>
        <v>693</v>
      </c>
      <c r="C694" s="58">
        <f>PRRAS!D707</f>
        <v>3223351</v>
      </c>
      <c r="D694" s="58">
        <f>PRRAS!E707</f>
        <v>2704406</v>
      </c>
      <c r="E694" s="58">
        <v>0</v>
      </c>
      <c r="F694" s="58">
        <v>0</v>
      </c>
      <c r="G694" s="59">
        <f t="shared" si="20"/>
        <v>5982088.9589999998</v>
      </c>
      <c r="H694" s="59">
        <f t="shared" si="21"/>
        <v>0</v>
      </c>
      <c r="I694" s="60">
        <v>0</v>
      </c>
    </row>
    <row r="695" spans="1:9" x14ac:dyDescent="0.2">
      <c r="A695" s="57">
        <v>151</v>
      </c>
      <c r="B695" s="58">
        <f>PRRAS!C708</f>
        <v>694</v>
      </c>
      <c r="C695" s="58">
        <f>PRRAS!D708</f>
        <v>489881</v>
      </c>
      <c r="D695" s="58">
        <f>PRRAS!E708</f>
        <v>516303</v>
      </c>
      <c r="E695" s="58">
        <v>0</v>
      </c>
      <c r="F695" s="58">
        <v>0</v>
      </c>
      <c r="G695" s="59">
        <f t="shared" si="20"/>
        <v>1056605.9779999999</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97467</v>
      </c>
      <c r="D697" s="58">
        <f>PRRAS!E710</f>
        <v>99072</v>
      </c>
      <c r="E697" s="58">
        <v>0</v>
      </c>
      <c r="F697" s="58">
        <v>0</v>
      </c>
      <c r="G697" s="59">
        <f t="shared" si="20"/>
        <v>205745.25599999999</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102500</v>
      </c>
      <c r="D776" s="58">
        <f>PRRAS!E789</f>
        <v>199937</v>
      </c>
      <c r="E776" s="58">
        <v>0</v>
      </c>
      <c r="F776" s="58">
        <v>0</v>
      </c>
      <c r="G776" s="59">
        <f t="shared" si="24"/>
        <v>389339.85000000003</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70471</v>
      </c>
      <c r="D780" s="58">
        <f>PRRAS!E793</f>
        <v>0</v>
      </c>
      <c r="E780" s="58">
        <v>0</v>
      </c>
      <c r="F780" s="58">
        <v>0</v>
      </c>
      <c r="G780" s="59">
        <f t="shared" si="24"/>
        <v>54896.909</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39853946</v>
      </c>
      <c r="D977" s="63">
        <f>Bil!E12</f>
        <v>34814116</v>
      </c>
      <c r="E977" s="63">
        <v>0</v>
      </c>
      <c r="F977" s="63">
        <v>0</v>
      </c>
      <c r="G977" s="64">
        <f t="shared" ref="G977:G1040" si="32">B977/1000*C977+B977/500*D977</f>
        <v>109482.17800000001</v>
      </c>
      <c r="H977" s="64">
        <f t="shared" si="31"/>
        <v>0</v>
      </c>
      <c r="I977" s="65"/>
    </row>
    <row r="978" spans="1:9" x14ac:dyDescent="0.2">
      <c r="A978" s="57">
        <v>152</v>
      </c>
      <c r="B978" s="58">
        <f>Bil!C13</f>
        <v>2</v>
      </c>
      <c r="C978" s="58">
        <f>Bil!D13</f>
        <v>25039446</v>
      </c>
      <c r="D978" s="58">
        <f>Bil!E13</f>
        <v>20915930</v>
      </c>
      <c r="E978" s="58">
        <v>0</v>
      </c>
      <c r="F978" s="58">
        <v>0</v>
      </c>
      <c r="G978" s="59">
        <f t="shared" si="32"/>
        <v>133742.61199999999</v>
      </c>
      <c r="H978" s="59">
        <f t="shared" si="31"/>
        <v>0</v>
      </c>
      <c r="I978" s="60"/>
    </row>
    <row r="979" spans="1:9" x14ac:dyDescent="0.2">
      <c r="A979" s="57">
        <v>152</v>
      </c>
      <c r="B979" s="58">
        <f>Bil!C14</f>
        <v>3</v>
      </c>
      <c r="C979" s="58">
        <f>Bil!D14</f>
        <v>282402</v>
      </c>
      <c r="D979" s="58">
        <f>Bil!E14</f>
        <v>412369</v>
      </c>
      <c r="E979" s="58">
        <v>0</v>
      </c>
      <c r="F979" s="58">
        <v>0</v>
      </c>
      <c r="G979" s="59">
        <f t="shared" si="32"/>
        <v>3321.42</v>
      </c>
      <c r="H979" s="59">
        <f t="shared" si="31"/>
        <v>0</v>
      </c>
      <c r="I979" s="60"/>
    </row>
    <row r="980" spans="1:9" x14ac:dyDescent="0.2">
      <c r="A980" s="57">
        <v>152</v>
      </c>
      <c r="B980" s="58">
        <f>Bil!C15</f>
        <v>4</v>
      </c>
      <c r="C980" s="58">
        <f>Bil!D15</f>
        <v>0</v>
      </c>
      <c r="D980" s="58">
        <f>Bil!E15</f>
        <v>107228</v>
      </c>
      <c r="E980" s="58">
        <v>0</v>
      </c>
      <c r="F980" s="58">
        <v>0</v>
      </c>
      <c r="G980" s="59">
        <f t="shared" si="32"/>
        <v>857.82400000000007</v>
      </c>
      <c r="H980" s="59">
        <f t="shared" si="31"/>
        <v>0</v>
      </c>
      <c r="I980" s="60"/>
    </row>
    <row r="981" spans="1:9" x14ac:dyDescent="0.2">
      <c r="A981" s="57">
        <v>152</v>
      </c>
      <c r="B981" s="58">
        <f>Bil!C16</f>
        <v>5</v>
      </c>
      <c r="C981" s="58">
        <f>Bil!D16</f>
        <v>282402</v>
      </c>
      <c r="D981" s="58">
        <f>Bil!E16</f>
        <v>305141</v>
      </c>
      <c r="E981" s="58">
        <v>0</v>
      </c>
      <c r="F981" s="58">
        <v>0</v>
      </c>
      <c r="G981" s="59">
        <f t="shared" si="32"/>
        <v>4463.42</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24663852</v>
      </c>
      <c r="D983" s="58">
        <f>Bil!E18</f>
        <v>20410369</v>
      </c>
      <c r="E983" s="58">
        <v>0</v>
      </c>
      <c r="F983" s="58">
        <v>0</v>
      </c>
      <c r="G983" s="59">
        <f t="shared" si="32"/>
        <v>458392.13</v>
      </c>
      <c r="H983" s="59">
        <f t="shared" si="31"/>
        <v>0</v>
      </c>
      <c r="I983" s="60"/>
    </row>
    <row r="984" spans="1:9" x14ac:dyDescent="0.2">
      <c r="A984" s="57">
        <v>152</v>
      </c>
      <c r="B984" s="58">
        <f>Bil!C19</f>
        <v>8</v>
      </c>
      <c r="C984" s="58">
        <f>Bil!D19</f>
        <v>19752554</v>
      </c>
      <c r="D984" s="58">
        <f>Bil!E19</f>
        <v>17606137</v>
      </c>
      <c r="E984" s="58">
        <v>0</v>
      </c>
      <c r="F984" s="58">
        <v>0</v>
      </c>
      <c r="G984" s="59">
        <f t="shared" si="32"/>
        <v>439718.62399999995</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22012953</v>
      </c>
      <c r="D986" s="58">
        <f>Bil!E21</f>
        <v>24487503</v>
      </c>
      <c r="E986" s="58">
        <v>0</v>
      </c>
      <c r="F986" s="58">
        <v>0</v>
      </c>
      <c r="G986" s="59">
        <f t="shared" si="32"/>
        <v>709879.59</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692875</v>
      </c>
      <c r="D988" s="58">
        <f>Bil!E23</f>
        <v>692875</v>
      </c>
      <c r="E988" s="58">
        <v>0</v>
      </c>
      <c r="F988" s="58">
        <v>0</v>
      </c>
      <c r="G988" s="59">
        <f t="shared" si="32"/>
        <v>24943.5</v>
      </c>
      <c r="H988" s="59">
        <f t="shared" si="31"/>
        <v>0</v>
      </c>
      <c r="I988" s="60"/>
    </row>
    <row r="989" spans="1:9" x14ac:dyDescent="0.2">
      <c r="A989" s="57">
        <v>152</v>
      </c>
      <c r="B989" s="58">
        <f>Bil!C24</f>
        <v>13</v>
      </c>
      <c r="C989" s="58">
        <f>Bil!D24</f>
        <v>2953274</v>
      </c>
      <c r="D989" s="58">
        <f>Bil!E24</f>
        <v>7574241</v>
      </c>
      <c r="E989" s="58">
        <v>0</v>
      </c>
      <c r="F989" s="58">
        <v>0</v>
      </c>
      <c r="G989" s="59">
        <f t="shared" si="32"/>
        <v>235322.82800000001</v>
      </c>
      <c r="H989" s="59">
        <f t="shared" si="31"/>
        <v>0</v>
      </c>
      <c r="I989" s="60"/>
    </row>
    <row r="990" spans="1:9" x14ac:dyDescent="0.2">
      <c r="A990" s="57">
        <v>152</v>
      </c>
      <c r="B990" s="58">
        <f>Bil!C25</f>
        <v>14</v>
      </c>
      <c r="C990" s="58">
        <f>Bil!D25</f>
        <v>4313406</v>
      </c>
      <c r="D990" s="58">
        <f>Bil!E25</f>
        <v>2168276</v>
      </c>
      <c r="E990" s="58">
        <v>0</v>
      </c>
      <c r="F990" s="58">
        <v>0</v>
      </c>
      <c r="G990" s="59">
        <f t="shared" si="32"/>
        <v>121099.41200000001</v>
      </c>
      <c r="H990" s="59">
        <f t="shared" si="31"/>
        <v>0</v>
      </c>
      <c r="I990" s="60"/>
    </row>
    <row r="991" spans="1:9" x14ac:dyDescent="0.2">
      <c r="A991" s="57">
        <v>152</v>
      </c>
      <c r="B991" s="58">
        <f>Bil!C26</f>
        <v>15</v>
      </c>
      <c r="C991" s="58">
        <f>Bil!D26</f>
        <v>2717186</v>
      </c>
      <c r="D991" s="58">
        <f>Bil!E26</f>
        <v>2843519</v>
      </c>
      <c r="E991" s="58">
        <v>0</v>
      </c>
      <c r="F991" s="58">
        <v>0</v>
      </c>
      <c r="G991" s="59">
        <f t="shared" si="32"/>
        <v>126063.35999999999</v>
      </c>
      <c r="H991" s="59">
        <f t="shared" si="31"/>
        <v>0</v>
      </c>
      <c r="I991" s="60"/>
    </row>
    <row r="992" spans="1:9" x14ac:dyDescent="0.2">
      <c r="A992" s="57">
        <v>152</v>
      </c>
      <c r="B992" s="58">
        <f>Bil!C27</f>
        <v>16</v>
      </c>
      <c r="C992" s="58">
        <f>Bil!D27</f>
        <v>231325</v>
      </c>
      <c r="D992" s="58">
        <f>Bil!E27</f>
        <v>241023</v>
      </c>
      <c r="E992" s="58">
        <v>0</v>
      </c>
      <c r="F992" s="58">
        <v>0</v>
      </c>
      <c r="G992" s="59">
        <f t="shared" si="32"/>
        <v>11413.936</v>
      </c>
      <c r="H992" s="59">
        <f t="shared" si="31"/>
        <v>0</v>
      </c>
      <c r="I992" s="60"/>
    </row>
    <row r="993" spans="1:9" x14ac:dyDescent="0.2">
      <c r="A993" s="57">
        <v>152</v>
      </c>
      <c r="B993" s="58">
        <f>Bil!C28</f>
        <v>17</v>
      </c>
      <c r="C993" s="58">
        <f>Bil!D28</f>
        <v>2115322</v>
      </c>
      <c r="D993" s="58">
        <f>Bil!E28</f>
        <v>2117410</v>
      </c>
      <c r="E993" s="58">
        <v>0</v>
      </c>
      <c r="F993" s="58">
        <v>0</v>
      </c>
      <c r="G993" s="59">
        <f t="shared" si="32"/>
        <v>107952.414</v>
      </c>
      <c r="H993" s="59">
        <f t="shared" si="31"/>
        <v>0</v>
      </c>
      <c r="I993" s="60"/>
    </row>
    <row r="994" spans="1:9" x14ac:dyDescent="0.2">
      <c r="A994" s="57">
        <v>152</v>
      </c>
      <c r="B994" s="58">
        <f>Bil!C29</f>
        <v>18</v>
      </c>
      <c r="C994" s="58">
        <f>Bil!D29</f>
        <v>5976257</v>
      </c>
      <c r="D994" s="58">
        <f>Bil!E29</f>
        <v>5978342</v>
      </c>
      <c r="E994" s="58">
        <v>0</v>
      </c>
      <c r="F994" s="58">
        <v>0</v>
      </c>
      <c r="G994" s="59">
        <f t="shared" si="32"/>
        <v>322792.93799999997</v>
      </c>
      <c r="H994" s="59">
        <f t="shared" si="31"/>
        <v>0</v>
      </c>
      <c r="I994" s="60"/>
    </row>
    <row r="995" spans="1:9" x14ac:dyDescent="0.2">
      <c r="A995" s="57">
        <v>152</v>
      </c>
      <c r="B995" s="58">
        <f>Bil!C30</f>
        <v>19</v>
      </c>
      <c r="C995" s="58">
        <f>Bil!D30</f>
        <v>605498</v>
      </c>
      <c r="D995" s="58">
        <f>Bil!E30</f>
        <v>721472</v>
      </c>
      <c r="E995" s="58">
        <v>0</v>
      </c>
      <c r="F995" s="58">
        <v>0</v>
      </c>
      <c r="G995" s="59">
        <f t="shared" si="32"/>
        <v>38920.398000000001</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808516</v>
      </c>
      <c r="D997" s="58">
        <f>Bil!E32</f>
        <v>1010654</v>
      </c>
      <c r="E997" s="58">
        <v>0</v>
      </c>
      <c r="F997" s="58">
        <v>0</v>
      </c>
      <c r="G997" s="59">
        <f t="shared" si="32"/>
        <v>59426.304000000004</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8140698</v>
      </c>
      <c r="D999" s="58">
        <f>Bil!E34</f>
        <v>10744144</v>
      </c>
      <c r="E999" s="58">
        <v>0</v>
      </c>
      <c r="F999" s="58">
        <v>0</v>
      </c>
      <c r="G999" s="59">
        <f t="shared" si="32"/>
        <v>681466.67800000007</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450768</v>
      </c>
      <c r="D1006" s="58">
        <f>Bil!E41</f>
        <v>490589</v>
      </c>
      <c r="E1006" s="58">
        <v>0</v>
      </c>
      <c r="F1006" s="58">
        <v>0</v>
      </c>
      <c r="G1006" s="59">
        <f t="shared" si="32"/>
        <v>42958.38</v>
      </c>
      <c r="H1006" s="59">
        <f t="shared" si="31"/>
        <v>0</v>
      </c>
      <c r="I1006" s="60"/>
    </row>
    <row r="1007" spans="1:9" x14ac:dyDescent="0.2">
      <c r="A1007" s="57">
        <v>152</v>
      </c>
      <c r="B1007" s="58">
        <f>Bil!C42</f>
        <v>31</v>
      </c>
      <c r="C1007" s="58">
        <f>Bil!D42</f>
        <v>450768</v>
      </c>
      <c r="D1007" s="58">
        <f>Bil!E42</f>
        <v>497429</v>
      </c>
      <c r="E1007" s="58">
        <v>0</v>
      </c>
      <c r="F1007" s="58">
        <v>0</v>
      </c>
      <c r="G1007" s="59">
        <f t="shared" si="32"/>
        <v>44814.405999999995</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6840</v>
      </c>
      <c r="E1011" s="58">
        <v>0</v>
      </c>
      <c r="F1011" s="58">
        <v>0</v>
      </c>
      <c r="G1011" s="59">
        <f t="shared" si="32"/>
        <v>478.80000000000007</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147124</v>
      </c>
      <c r="D1016" s="58">
        <f>Bil!E51</f>
        <v>145367</v>
      </c>
      <c r="E1016" s="58">
        <v>0</v>
      </c>
      <c r="F1016" s="58">
        <v>0</v>
      </c>
      <c r="G1016" s="59">
        <f t="shared" si="32"/>
        <v>17514.32</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147124</v>
      </c>
      <c r="D1018" s="58">
        <f>Bil!E53</f>
        <v>147124</v>
      </c>
      <c r="E1018" s="58">
        <v>0</v>
      </c>
      <c r="F1018" s="58">
        <v>0</v>
      </c>
      <c r="G1018" s="59">
        <f t="shared" si="32"/>
        <v>18537.624000000003</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1757</v>
      </c>
      <c r="E1021" s="58">
        <v>0</v>
      </c>
      <c r="F1021" s="58">
        <v>0</v>
      </c>
      <c r="G1021" s="59">
        <f t="shared" si="32"/>
        <v>158.13</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687820</v>
      </c>
      <c r="D1025" s="58">
        <f>Bil!E60</f>
        <v>693697</v>
      </c>
      <c r="E1025" s="58">
        <v>0</v>
      </c>
      <c r="F1025" s="58">
        <v>0</v>
      </c>
      <c r="G1025" s="59">
        <f t="shared" si="32"/>
        <v>101685.486</v>
      </c>
      <c r="H1025" s="59">
        <f t="shared" si="31"/>
        <v>0</v>
      </c>
      <c r="I1025" s="60"/>
    </row>
    <row r="1026" spans="1:9" x14ac:dyDescent="0.2">
      <c r="A1026" s="57">
        <v>152</v>
      </c>
      <c r="B1026" s="58">
        <f>Bil!C61</f>
        <v>50</v>
      </c>
      <c r="C1026" s="58">
        <f>Bil!D61</f>
        <v>687820</v>
      </c>
      <c r="D1026" s="58">
        <f>Bil!E61</f>
        <v>693697</v>
      </c>
      <c r="E1026" s="58">
        <v>0</v>
      </c>
      <c r="F1026" s="58">
        <v>0</v>
      </c>
      <c r="G1026" s="59">
        <f t="shared" si="32"/>
        <v>103760.7</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93192</v>
      </c>
      <c r="D1034" s="58">
        <f>Bil!E69</f>
        <v>93192</v>
      </c>
      <c r="E1034" s="58">
        <v>0</v>
      </c>
      <c r="F1034" s="58">
        <v>0</v>
      </c>
      <c r="G1034" s="59">
        <f t="shared" si="32"/>
        <v>16215.408000000001</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93192</v>
      </c>
      <c r="D1036" s="58">
        <f>Bil!E71</f>
        <v>93192</v>
      </c>
      <c r="E1036" s="58">
        <v>0</v>
      </c>
      <c r="F1036" s="58">
        <v>0</v>
      </c>
      <c r="G1036" s="59">
        <f t="shared" si="32"/>
        <v>16774.559999999998</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14814500</v>
      </c>
      <c r="D1039" s="58">
        <f>Bil!E74</f>
        <v>13898186</v>
      </c>
      <c r="E1039" s="58">
        <v>0</v>
      </c>
      <c r="F1039" s="58">
        <v>0</v>
      </c>
      <c r="G1039" s="59">
        <f t="shared" si="32"/>
        <v>2684484.9359999998</v>
      </c>
      <c r="H1039" s="59">
        <f t="shared" si="33"/>
        <v>0</v>
      </c>
      <c r="I1039" s="60"/>
    </row>
    <row r="1040" spans="1:9" x14ac:dyDescent="0.2">
      <c r="A1040" s="57">
        <v>152</v>
      </c>
      <c r="B1040" s="58">
        <f>Bil!C75</f>
        <v>64</v>
      </c>
      <c r="C1040" s="58">
        <f>Bil!D75</f>
        <v>5404652</v>
      </c>
      <c r="D1040" s="58">
        <f>Bil!E75</f>
        <v>4950114</v>
      </c>
      <c r="E1040" s="58">
        <v>0</v>
      </c>
      <c r="F1040" s="58">
        <v>0</v>
      </c>
      <c r="G1040" s="59">
        <f t="shared" si="32"/>
        <v>979512.32000000007</v>
      </c>
      <c r="H1040" s="59">
        <f t="shared" si="33"/>
        <v>0</v>
      </c>
      <c r="I1040" s="60"/>
    </row>
    <row r="1041" spans="1:9" x14ac:dyDescent="0.2">
      <c r="A1041" s="57">
        <v>152</v>
      </c>
      <c r="B1041" s="58">
        <f>Bil!C76</f>
        <v>65</v>
      </c>
      <c r="C1041" s="58">
        <f>Bil!D76</f>
        <v>5402163</v>
      </c>
      <c r="D1041" s="58">
        <f>Bil!E76</f>
        <v>4949271</v>
      </c>
      <c r="E1041" s="58">
        <v>0</v>
      </c>
      <c r="F1041" s="58">
        <v>0</v>
      </c>
      <c r="G1041" s="59">
        <f t="shared" ref="G1041:G1104" si="34">B1041/1000*C1041+B1041/500*D1041</f>
        <v>994545.82499999995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5402163</v>
      </c>
      <c r="D1043" s="58">
        <f>Bil!E78</f>
        <v>4949271</v>
      </c>
      <c r="E1043" s="58">
        <v>0</v>
      </c>
      <c r="F1043" s="58">
        <v>0</v>
      </c>
      <c r="G1043" s="59">
        <f t="shared" si="34"/>
        <v>1025147.2350000001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2489</v>
      </c>
      <c r="D1047" s="58">
        <f>Bil!E82</f>
        <v>843</v>
      </c>
      <c r="E1047" s="58">
        <v>0</v>
      </c>
      <c r="F1047" s="58">
        <v>0</v>
      </c>
      <c r="G1047" s="59">
        <f t="shared" si="34"/>
        <v>296.42499999999995</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594531</v>
      </c>
      <c r="D1049" s="58">
        <f>Bil!E84</f>
        <v>102573</v>
      </c>
      <c r="E1049" s="58">
        <v>0</v>
      </c>
      <c r="F1049" s="58">
        <v>0</v>
      </c>
      <c r="G1049" s="59">
        <f t="shared" si="34"/>
        <v>58376.421000000002</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3798</v>
      </c>
      <c r="E1054" s="58">
        <v>0</v>
      </c>
      <c r="F1054" s="58">
        <v>0</v>
      </c>
      <c r="G1054" s="59">
        <f t="shared" si="34"/>
        <v>592.48799999999994</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594531</v>
      </c>
      <c r="D1056" s="58">
        <f>Bil!E91</f>
        <v>98775</v>
      </c>
      <c r="E1056" s="58">
        <v>0</v>
      </c>
      <c r="F1056" s="58">
        <v>0</v>
      </c>
      <c r="G1056" s="59">
        <f t="shared" si="34"/>
        <v>63366.48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10000</v>
      </c>
      <c r="D1104" s="58">
        <f>Bil!E139</f>
        <v>10000</v>
      </c>
      <c r="E1104" s="58">
        <v>0</v>
      </c>
      <c r="F1104" s="58">
        <v>0</v>
      </c>
      <c r="G1104" s="59">
        <f t="shared" si="34"/>
        <v>3840</v>
      </c>
      <c r="H1104" s="59">
        <f t="shared" si="35"/>
        <v>0</v>
      </c>
      <c r="I1104" s="60"/>
    </row>
    <row r="1105" spans="1:9" x14ac:dyDescent="0.2">
      <c r="A1105" s="57">
        <v>152</v>
      </c>
      <c r="B1105" s="58">
        <f>Bil!C140</f>
        <v>129</v>
      </c>
      <c r="C1105" s="58">
        <f>Bil!D140</f>
        <v>10000</v>
      </c>
      <c r="D1105" s="58">
        <f>Bil!E140</f>
        <v>10000</v>
      </c>
      <c r="E1105" s="58">
        <v>0</v>
      </c>
      <c r="F1105" s="58">
        <v>0</v>
      </c>
      <c r="G1105" s="59">
        <f t="shared" ref="G1105:G1168" si="36">B1105/1000*C1105+B1105/500*D1105</f>
        <v>3870</v>
      </c>
      <c r="H1105" s="59">
        <f t="shared" si="35"/>
        <v>0</v>
      </c>
      <c r="I1105" s="60"/>
    </row>
    <row r="1106" spans="1:9" x14ac:dyDescent="0.2">
      <c r="A1106" s="57">
        <v>152</v>
      </c>
      <c r="B1106" s="58">
        <f>Bil!C141</f>
        <v>130</v>
      </c>
      <c r="C1106" s="58">
        <f>Bil!D141</f>
        <v>10000</v>
      </c>
      <c r="D1106" s="58">
        <f>Bil!E141</f>
        <v>10000</v>
      </c>
      <c r="E1106" s="58">
        <v>0</v>
      </c>
      <c r="F1106" s="58">
        <v>0</v>
      </c>
      <c r="G1106" s="59">
        <f t="shared" si="36"/>
        <v>3900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7452192</v>
      </c>
      <c r="D1116" s="58">
        <f>Bil!E151</f>
        <v>7433441</v>
      </c>
      <c r="E1116" s="58">
        <v>0</v>
      </c>
      <c r="F1116" s="58">
        <v>0</v>
      </c>
      <c r="G1116" s="59">
        <f t="shared" si="36"/>
        <v>3124670.3600000003</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7452192</v>
      </c>
      <c r="D1129" s="58">
        <f>Bil!E164</f>
        <v>7433441</v>
      </c>
      <c r="E1129" s="58">
        <v>0</v>
      </c>
      <c r="F1129" s="58">
        <v>0</v>
      </c>
      <c r="G1129" s="59">
        <f t="shared" si="36"/>
        <v>3414818.3219999997</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1353125</v>
      </c>
      <c r="D1134" s="58">
        <f>Bil!E169</f>
        <v>1402058</v>
      </c>
      <c r="E1134" s="58">
        <v>0</v>
      </c>
      <c r="F1134" s="58">
        <v>0</v>
      </c>
      <c r="G1134" s="59">
        <f t="shared" si="36"/>
        <v>656844.07799999998</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1353125</v>
      </c>
      <c r="D1137" s="58">
        <f>Bil!E172</f>
        <v>1402058</v>
      </c>
      <c r="E1137" s="58">
        <v>0</v>
      </c>
      <c r="F1137" s="58">
        <v>0</v>
      </c>
      <c r="G1137" s="59">
        <f t="shared" si="36"/>
        <v>669315.80099999998</v>
      </c>
      <c r="H1137" s="59">
        <f t="shared" si="35"/>
        <v>0</v>
      </c>
      <c r="I1137" s="60"/>
    </row>
    <row r="1138" spans="1:9" x14ac:dyDescent="0.2">
      <c r="A1138" s="57">
        <v>152</v>
      </c>
      <c r="B1138" s="58">
        <f>Bil!C173</f>
        <v>162</v>
      </c>
      <c r="C1138" s="58">
        <f>Bil!D173</f>
        <v>39853947</v>
      </c>
      <c r="D1138" s="58">
        <f>Bil!E173</f>
        <v>34814115</v>
      </c>
      <c r="E1138" s="58">
        <v>0</v>
      </c>
      <c r="F1138" s="58">
        <v>0</v>
      </c>
      <c r="G1138" s="59">
        <f t="shared" si="36"/>
        <v>17736112.673999999</v>
      </c>
      <c r="H1138" s="59">
        <f t="shared" si="35"/>
        <v>0</v>
      </c>
      <c r="I1138" s="60"/>
    </row>
    <row r="1139" spans="1:9" x14ac:dyDescent="0.2">
      <c r="A1139" s="57">
        <v>152</v>
      </c>
      <c r="B1139" s="58">
        <f>Bil!C174</f>
        <v>163</v>
      </c>
      <c r="C1139" s="58">
        <f>Bil!D174</f>
        <v>1957631</v>
      </c>
      <c r="D1139" s="58">
        <f>Bil!E174</f>
        <v>1838507</v>
      </c>
      <c r="E1139" s="58">
        <v>0</v>
      </c>
      <c r="F1139" s="58">
        <v>0</v>
      </c>
      <c r="G1139" s="59">
        <f t="shared" si="36"/>
        <v>918447.13500000001</v>
      </c>
      <c r="H1139" s="59">
        <f t="shared" si="35"/>
        <v>0</v>
      </c>
      <c r="I1139" s="60"/>
    </row>
    <row r="1140" spans="1:9" x14ac:dyDescent="0.2">
      <c r="A1140" s="57">
        <v>152</v>
      </c>
      <c r="B1140" s="58">
        <f>Bil!C175</f>
        <v>164</v>
      </c>
      <c r="C1140" s="58">
        <f>Bil!D175</f>
        <v>1912431</v>
      </c>
      <c r="D1140" s="58">
        <f>Bil!E175</f>
        <v>1835254</v>
      </c>
      <c r="E1140" s="58">
        <v>0</v>
      </c>
      <c r="F1140" s="58">
        <v>0</v>
      </c>
      <c r="G1140" s="59">
        <f t="shared" si="36"/>
        <v>915601.99600000004</v>
      </c>
      <c r="H1140" s="59">
        <f t="shared" si="35"/>
        <v>0</v>
      </c>
      <c r="I1140" s="60"/>
    </row>
    <row r="1141" spans="1:9" x14ac:dyDescent="0.2">
      <c r="A1141" s="57">
        <v>152</v>
      </c>
      <c r="B1141" s="58">
        <f>Bil!C176</f>
        <v>165</v>
      </c>
      <c r="C1141" s="58">
        <f>Bil!D176</f>
        <v>1286310</v>
      </c>
      <c r="D1141" s="58">
        <f>Bil!E176</f>
        <v>1309175</v>
      </c>
      <c r="E1141" s="58">
        <v>0</v>
      </c>
      <c r="F1141" s="58">
        <v>0</v>
      </c>
      <c r="G1141" s="59">
        <f t="shared" si="36"/>
        <v>644268.9</v>
      </c>
      <c r="H1141" s="59">
        <f t="shared" si="35"/>
        <v>0</v>
      </c>
      <c r="I1141" s="60"/>
    </row>
    <row r="1142" spans="1:9" x14ac:dyDescent="0.2">
      <c r="A1142" s="57">
        <v>152</v>
      </c>
      <c r="B1142" s="58">
        <f>Bil!C177</f>
        <v>166</v>
      </c>
      <c r="C1142" s="58">
        <f>Bil!D177</f>
        <v>611905</v>
      </c>
      <c r="D1142" s="58">
        <f>Bil!E177</f>
        <v>511621</v>
      </c>
      <c r="E1142" s="58">
        <v>0</v>
      </c>
      <c r="F1142" s="58">
        <v>0</v>
      </c>
      <c r="G1142" s="59">
        <f t="shared" si="36"/>
        <v>271434.402</v>
      </c>
      <c r="H1142" s="59">
        <f t="shared" si="35"/>
        <v>0</v>
      </c>
      <c r="I1142" s="60"/>
    </row>
    <row r="1143" spans="1:9" x14ac:dyDescent="0.2">
      <c r="A1143" s="57">
        <v>152</v>
      </c>
      <c r="B1143" s="58">
        <f>Bil!C178</f>
        <v>167</v>
      </c>
      <c r="C1143" s="58">
        <f>Bil!D178</f>
        <v>2216</v>
      </c>
      <c r="D1143" s="58">
        <f>Bil!E178</f>
        <v>2071</v>
      </c>
      <c r="E1143" s="58">
        <v>0</v>
      </c>
      <c r="F1143" s="58">
        <v>0</v>
      </c>
      <c r="G1143" s="59">
        <f t="shared" si="36"/>
        <v>1061.7860000000001</v>
      </c>
      <c r="H1143" s="59">
        <f t="shared" si="35"/>
        <v>0</v>
      </c>
      <c r="I1143" s="60"/>
    </row>
    <row r="1144" spans="1:9" x14ac:dyDescent="0.2">
      <c r="A1144" s="57">
        <v>152</v>
      </c>
      <c r="B1144" s="58">
        <f>Bil!C179</f>
        <v>168</v>
      </c>
      <c r="C1144" s="58">
        <f>Bil!D179</f>
        <v>2216</v>
      </c>
      <c r="D1144" s="58">
        <f>Bil!E179</f>
        <v>2071</v>
      </c>
      <c r="E1144" s="58">
        <v>0</v>
      </c>
      <c r="F1144" s="58">
        <v>0</v>
      </c>
      <c r="G1144" s="59">
        <f t="shared" si="36"/>
        <v>1068.144</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12000</v>
      </c>
      <c r="D1148" s="58">
        <f>Bil!E183</f>
        <v>12000</v>
      </c>
      <c r="E1148" s="58">
        <v>0</v>
      </c>
      <c r="F1148" s="58">
        <v>0</v>
      </c>
      <c r="G1148" s="59">
        <f t="shared" si="36"/>
        <v>6192</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387</v>
      </c>
      <c r="E1150" s="58">
        <v>0</v>
      </c>
      <c r="F1150" s="58">
        <v>0</v>
      </c>
      <c r="G1150" s="59">
        <f t="shared" si="36"/>
        <v>134.67599999999999</v>
      </c>
      <c r="H1150" s="59">
        <f t="shared" si="35"/>
        <v>0</v>
      </c>
      <c r="I1150" s="60"/>
    </row>
    <row r="1151" spans="1:9" x14ac:dyDescent="0.2">
      <c r="A1151" s="57">
        <v>152</v>
      </c>
      <c r="B1151" s="58">
        <f>Bil!C186</f>
        <v>175</v>
      </c>
      <c r="C1151" s="58">
        <f>Bil!D186</f>
        <v>45200</v>
      </c>
      <c r="D1151" s="58">
        <f>Bil!E186</f>
        <v>3253</v>
      </c>
      <c r="E1151" s="58">
        <v>0</v>
      </c>
      <c r="F1151" s="58">
        <v>0</v>
      </c>
      <c r="G1151" s="59">
        <f t="shared" si="36"/>
        <v>9048.5499999999993</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37896316</v>
      </c>
      <c r="D1199" s="58">
        <f>Bil!E234</f>
        <v>32975608</v>
      </c>
      <c r="E1199" s="58">
        <v>0</v>
      </c>
      <c r="F1199" s="58">
        <v>0</v>
      </c>
      <c r="G1199" s="59">
        <f t="shared" si="38"/>
        <v>23157999.636</v>
      </c>
      <c r="H1199" s="59">
        <f t="shared" si="37"/>
        <v>0</v>
      </c>
      <c r="I1199" s="60"/>
    </row>
    <row r="1200" spans="1:9" x14ac:dyDescent="0.2">
      <c r="A1200" s="57">
        <v>152</v>
      </c>
      <c r="B1200" s="58">
        <f>Bil!C235</f>
        <v>224</v>
      </c>
      <c r="C1200" s="58">
        <f>Bil!D235</f>
        <v>24549028</v>
      </c>
      <c r="D1200" s="58">
        <f>Bil!E235</f>
        <v>20425511</v>
      </c>
      <c r="E1200" s="58">
        <v>0</v>
      </c>
      <c r="F1200" s="58">
        <v>0</v>
      </c>
      <c r="G1200" s="59">
        <f t="shared" si="38"/>
        <v>14649611.199999999</v>
      </c>
      <c r="H1200" s="59">
        <f t="shared" si="37"/>
        <v>0</v>
      </c>
      <c r="I1200" s="60"/>
    </row>
    <row r="1201" spans="1:9" x14ac:dyDescent="0.2">
      <c r="A1201" s="57">
        <v>152</v>
      </c>
      <c r="B1201" s="58">
        <f>Bil!C236</f>
        <v>225</v>
      </c>
      <c r="C1201" s="58">
        <f>Bil!D236</f>
        <v>24549028</v>
      </c>
      <c r="D1201" s="58">
        <f>Bil!E236</f>
        <v>20425511</v>
      </c>
      <c r="E1201" s="58">
        <v>0</v>
      </c>
      <c r="F1201" s="58">
        <v>0</v>
      </c>
      <c r="G1201" s="59">
        <f t="shared" si="38"/>
        <v>14715011.25</v>
      </c>
      <c r="H1201" s="59">
        <f t="shared" si="37"/>
        <v>0</v>
      </c>
      <c r="I1201" s="60"/>
    </row>
    <row r="1202" spans="1:9" x14ac:dyDescent="0.2">
      <c r="A1202" s="57">
        <v>152</v>
      </c>
      <c r="B1202" s="58">
        <f>Bil!C237</f>
        <v>226</v>
      </c>
      <c r="C1202" s="58">
        <f>Bil!D237</f>
        <v>24135516</v>
      </c>
      <c r="D1202" s="58">
        <f>Bil!E237</f>
        <v>20011999</v>
      </c>
      <c r="E1202" s="58">
        <v>0</v>
      </c>
      <c r="F1202" s="58">
        <v>0</v>
      </c>
      <c r="G1202" s="59">
        <f t="shared" si="38"/>
        <v>14500050.164000001</v>
      </c>
      <c r="H1202" s="59">
        <f t="shared" si="37"/>
        <v>0</v>
      </c>
      <c r="I1202" s="60"/>
    </row>
    <row r="1203" spans="1:9" x14ac:dyDescent="0.2">
      <c r="A1203" s="57">
        <v>152</v>
      </c>
      <c r="B1203" s="58">
        <f>Bil!C238</f>
        <v>227</v>
      </c>
      <c r="C1203" s="58">
        <f>Bil!D238</f>
        <v>413512</v>
      </c>
      <c r="D1203" s="58">
        <f>Bil!E238</f>
        <v>413512</v>
      </c>
      <c r="E1203" s="58">
        <v>0</v>
      </c>
      <c r="F1203" s="58">
        <v>0</v>
      </c>
      <c r="G1203" s="59">
        <f t="shared" si="38"/>
        <v>281601.67200000002</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5894739</v>
      </c>
      <c r="D1208" s="58">
        <f>Bil!E243</f>
        <v>4982374</v>
      </c>
      <c r="E1208" s="58">
        <v>0</v>
      </c>
      <c r="F1208" s="58">
        <v>0</v>
      </c>
      <c r="G1208" s="59">
        <f t="shared" si="38"/>
        <v>3679400.9840000002</v>
      </c>
      <c r="H1208" s="59">
        <f t="shared" si="37"/>
        <v>0</v>
      </c>
      <c r="I1208" s="60"/>
    </row>
    <row r="1209" spans="1:9" x14ac:dyDescent="0.2">
      <c r="A1209" s="57">
        <v>152</v>
      </c>
      <c r="B1209" s="58">
        <f>Bil!C244</f>
        <v>233</v>
      </c>
      <c r="C1209" s="58">
        <f>Bil!D244</f>
        <v>5894739</v>
      </c>
      <c r="D1209" s="58">
        <f>Bil!E244</f>
        <v>4982374</v>
      </c>
      <c r="E1209" s="58">
        <v>0</v>
      </c>
      <c r="F1209" s="58">
        <v>0</v>
      </c>
      <c r="G1209" s="59">
        <f t="shared" si="38"/>
        <v>3695260.4709999999</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131019</v>
      </c>
      <c r="D1212" s="58">
        <f>Bil!E247</f>
        <v>398116</v>
      </c>
      <c r="E1212" s="58">
        <v>0</v>
      </c>
      <c r="F1212" s="58">
        <v>0</v>
      </c>
      <c r="G1212" s="59">
        <f t="shared" si="38"/>
        <v>218831.23599999998</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131019</v>
      </c>
      <c r="D1214" s="58">
        <f>Bil!E249</f>
        <v>398116</v>
      </c>
      <c r="E1214" s="58">
        <v>0</v>
      </c>
      <c r="F1214" s="58">
        <v>0</v>
      </c>
      <c r="G1214" s="59">
        <f t="shared" si="38"/>
        <v>220685.73799999998</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7583568</v>
      </c>
      <c r="D1216" s="58">
        <f>Bil!E251</f>
        <v>7965839</v>
      </c>
      <c r="E1216" s="58">
        <v>0</v>
      </c>
      <c r="F1216" s="58">
        <v>0</v>
      </c>
      <c r="G1216" s="59">
        <f t="shared" si="38"/>
        <v>5643659.0399999991</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2369527</v>
      </c>
      <c r="E1220" s="58">
        <v>0</v>
      </c>
      <c r="F1220" s="58">
        <v>0</v>
      </c>
      <c r="G1220" s="59">
        <f t="shared" si="38"/>
        <v>1156329.176</v>
      </c>
      <c r="H1220" s="59">
        <f t="shared" si="39"/>
        <v>0</v>
      </c>
      <c r="I1220" s="60"/>
    </row>
    <row r="1221" spans="1:9" x14ac:dyDescent="0.2">
      <c r="A1221" s="57">
        <v>152</v>
      </c>
      <c r="B1221" s="58">
        <f>Bil!C256</f>
        <v>245</v>
      </c>
      <c r="C1221" s="58">
        <f>Bil!D256</f>
        <v>0</v>
      </c>
      <c r="D1221" s="58">
        <f>Bil!E256</f>
        <v>2369527</v>
      </c>
      <c r="E1221" s="58">
        <v>0</v>
      </c>
      <c r="F1221" s="58">
        <v>0</v>
      </c>
      <c r="G1221" s="59">
        <f t="shared" si="38"/>
        <v>1161068.23</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7452192</v>
      </c>
      <c r="D1225" s="58">
        <f>Bil!E261</f>
        <v>7433441</v>
      </c>
      <c r="E1225" s="58">
        <v>0</v>
      </c>
      <c r="F1225" s="58">
        <v>0</v>
      </c>
      <c r="G1225" s="59">
        <f t="shared" si="38"/>
        <v>5557449.426</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1912431</v>
      </c>
      <c r="D1252" s="58">
        <f>Bil!E288</f>
        <v>1835254</v>
      </c>
      <c r="E1252" s="58">
        <v>0</v>
      </c>
      <c r="F1252" s="58">
        <v>0</v>
      </c>
      <c r="G1252" s="59">
        <f t="shared" si="40"/>
        <v>1540891.1640000001</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45200</v>
      </c>
      <c r="D1254" s="58">
        <f>Bil!E290</f>
        <v>3253</v>
      </c>
      <c r="E1254" s="58">
        <v>0</v>
      </c>
      <c r="F1254" s="58">
        <v>0</v>
      </c>
      <c r="G1254" s="59">
        <f t="shared" si="40"/>
        <v>14374.268</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22865448</v>
      </c>
      <c r="D1396" s="58">
        <f>RasF!E121</f>
        <v>25202063</v>
      </c>
      <c r="E1396" s="58">
        <v>0</v>
      </c>
      <c r="F1396" s="58">
        <v>0</v>
      </c>
      <c r="G1396" s="59">
        <f t="shared" si="44"/>
        <v>8059653.1400000006</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22865448</v>
      </c>
      <c r="D1404" s="58">
        <f>RasF!E129</f>
        <v>25202063</v>
      </c>
      <c r="E1404" s="58">
        <v>0</v>
      </c>
      <c r="F1404" s="58">
        <v>0</v>
      </c>
      <c r="G1404" s="59">
        <f t="shared" si="44"/>
        <v>8645809.7320000008</v>
      </c>
      <c r="H1404" s="59">
        <f t="shared" si="43"/>
        <v>0</v>
      </c>
      <c r="I1404" s="60"/>
    </row>
    <row r="1405" spans="1:9" x14ac:dyDescent="0.2">
      <c r="A1405" s="57">
        <v>154</v>
      </c>
      <c r="B1405" s="58">
        <f>RasF!C130</f>
        <v>119</v>
      </c>
      <c r="C1405" s="58">
        <f>RasF!D130</f>
        <v>22865448</v>
      </c>
      <c r="D1405" s="58">
        <f>RasF!E130</f>
        <v>25202063</v>
      </c>
      <c r="E1405" s="58">
        <v>0</v>
      </c>
      <c r="F1405" s="58">
        <v>0</v>
      </c>
      <c r="G1405" s="59">
        <f t="shared" si="44"/>
        <v>8719079.3059999999</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22865448</v>
      </c>
      <c r="D1423" s="67">
        <f>RasF!E148</f>
        <v>25202063</v>
      </c>
      <c r="E1423" s="67">
        <v>0</v>
      </c>
      <c r="F1423" s="67">
        <v>0</v>
      </c>
      <c r="G1423" s="68">
        <f t="shared" si="44"/>
        <v>10037931.638</v>
      </c>
      <c r="H1423" s="68">
        <f t="shared" si="45"/>
        <v>0</v>
      </c>
      <c r="I1423" s="69"/>
    </row>
    <row r="1424" spans="1:9" x14ac:dyDescent="0.2">
      <c r="A1424" s="62">
        <v>156</v>
      </c>
      <c r="B1424" s="63">
        <f>PVRIO!C12</f>
        <v>1</v>
      </c>
      <c r="C1424" s="70">
        <f>PVRIO!D12</f>
        <v>2625</v>
      </c>
      <c r="D1424" s="70">
        <f>PVRIO!E12</f>
        <v>0</v>
      </c>
      <c r="E1424" s="70">
        <v>0</v>
      </c>
      <c r="F1424" s="70">
        <v>0</v>
      </c>
      <c r="G1424" s="64">
        <f t="shared" si="44"/>
        <v>2.625</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2625</v>
      </c>
      <c r="D1441" s="61">
        <f>PVRIO!E29</f>
        <v>0</v>
      </c>
      <c r="E1441" s="61">
        <v>0</v>
      </c>
      <c r="F1441" s="61">
        <v>0</v>
      </c>
      <c r="G1441" s="59">
        <f t="shared" si="46"/>
        <v>47.249999999999993</v>
      </c>
      <c r="H1441" s="59">
        <f t="shared" si="45"/>
        <v>0</v>
      </c>
      <c r="I1441" s="60">
        <v>0</v>
      </c>
    </row>
    <row r="1442" spans="1:9" x14ac:dyDescent="0.2">
      <c r="A1442" s="57">
        <v>156</v>
      </c>
      <c r="B1442" s="58">
        <f>PVRIO!C30</f>
        <v>19</v>
      </c>
      <c r="C1442" s="61">
        <f>PVRIO!D30</f>
        <v>2625</v>
      </c>
      <c r="D1442" s="61">
        <f>PVRIO!E30</f>
        <v>0</v>
      </c>
      <c r="E1442" s="61">
        <v>0</v>
      </c>
      <c r="F1442" s="61">
        <v>0</v>
      </c>
      <c r="G1442" s="59">
        <f t="shared" si="46"/>
        <v>49.875</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2625</v>
      </c>
      <c r="D1444" s="61">
        <f>PVRIO!E32</f>
        <v>0</v>
      </c>
      <c r="E1444" s="61">
        <v>0</v>
      </c>
      <c r="F1444" s="61">
        <v>0</v>
      </c>
      <c r="G1444" s="59">
        <f t="shared" si="46"/>
        <v>55.125</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1957631</v>
      </c>
      <c r="D1468" s="70"/>
      <c r="E1468" s="70">
        <v>0</v>
      </c>
      <c r="F1468" s="70">
        <v>0</v>
      </c>
      <c r="G1468" s="64">
        <f t="shared" ref="G1468:G1499" si="51">B1468/1000*C1468</f>
        <v>1957.6310000000001</v>
      </c>
      <c r="H1468" s="64">
        <f t="shared" ref="H1468:H1499" si="52">ABS(C1468-ROUND(C1468,0))</f>
        <v>0</v>
      </c>
      <c r="I1468" s="65"/>
    </row>
    <row r="1469" spans="1:9" x14ac:dyDescent="0.2">
      <c r="A1469" s="73">
        <v>159</v>
      </c>
      <c r="B1469" s="61">
        <f>Obv!C13</f>
        <v>2</v>
      </c>
      <c r="C1469" s="61">
        <f>Obv!D13</f>
        <v>24707160</v>
      </c>
      <c r="D1469" s="61">
        <v>0</v>
      </c>
      <c r="E1469" s="61">
        <v>0</v>
      </c>
      <c r="F1469" s="61">
        <v>0</v>
      </c>
      <c r="G1469" s="59">
        <f t="shared" si="51"/>
        <v>49414.32</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24200594</v>
      </c>
      <c r="D1471" s="61">
        <v>0</v>
      </c>
      <c r="E1471" s="61">
        <v>0</v>
      </c>
      <c r="F1471" s="61">
        <v>0</v>
      </c>
      <c r="G1471" s="59">
        <f t="shared" si="51"/>
        <v>96802.376000000004</v>
      </c>
      <c r="H1471" s="59">
        <f t="shared" si="52"/>
        <v>0</v>
      </c>
      <c r="I1471" s="60"/>
    </row>
    <row r="1472" spans="1:9" x14ac:dyDescent="0.2">
      <c r="A1472" s="73">
        <v>159</v>
      </c>
      <c r="B1472" s="61">
        <f>Obv!C16</f>
        <v>5</v>
      </c>
      <c r="C1472" s="61">
        <f>Obv!D16</f>
        <v>15896709</v>
      </c>
      <c r="D1472" s="61">
        <v>0</v>
      </c>
      <c r="E1472" s="61">
        <v>0</v>
      </c>
      <c r="F1472" s="61">
        <v>0</v>
      </c>
      <c r="G1472" s="59">
        <f t="shared" si="51"/>
        <v>79483.544999999998</v>
      </c>
      <c r="H1472" s="59">
        <f t="shared" si="52"/>
        <v>0</v>
      </c>
      <c r="I1472" s="60"/>
    </row>
    <row r="1473" spans="1:9" x14ac:dyDescent="0.2">
      <c r="A1473" s="73">
        <v>159</v>
      </c>
      <c r="B1473" s="61">
        <f>Obv!C17</f>
        <v>6</v>
      </c>
      <c r="C1473" s="61">
        <f>Obv!D17</f>
        <v>8073585</v>
      </c>
      <c r="D1473" s="61">
        <v>0</v>
      </c>
      <c r="E1473" s="61">
        <v>0</v>
      </c>
      <c r="F1473" s="61">
        <v>0</v>
      </c>
      <c r="G1473" s="59">
        <f t="shared" si="51"/>
        <v>48441.51</v>
      </c>
      <c r="H1473" s="59">
        <f t="shared" si="52"/>
        <v>0</v>
      </c>
      <c r="I1473" s="60"/>
    </row>
    <row r="1474" spans="1:9" x14ac:dyDescent="0.2">
      <c r="A1474" s="73">
        <v>159</v>
      </c>
      <c r="B1474" s="61">
        <f>Obv!C18</f>
        <v>7</v>
      </c>
      <c r="C1474" s="61">
        <f>Obv!D18</f>
        <v>37177</v>
      </c>
      <c r="D1474" s="61">
        <v>0</v>
      </c>
      <c r="E1474" s="61">
        <v>0</v>
      </c>
      <c r="F1474" s="61">
        <v>0</v>
      </c>
      <c r="G1474" s="59">
        <f t="shared" si="51"/>
        <v>260.23900000000003</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149817</v>
      </c>
      <c r="D1476" s="61">
        <v>0</v>
      </c>
      <c r="E1476" s="61">
        <v>0</v>
      </c>
      <c r="F1476" s="61">
        <v>0</v>
      </c>
      <c r="G1476" s="59">
        <f t="shared" si="51"/>
        <v>1348.3529999999998</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43306</v>
      </c>
      <c r="D1478" s="61">
        <v>0</v>
      </c>
      <c r="E1478" s="61">
        <v>0</v>
      </c>
      <c r="F1478" s="61">
        <v>0</v>
      </c>
      <c r="G1478" s="59">
        <f t="shared" si="51"/>
        <v>476.36599999999999</v>
      </c>
      <c r="H1478" s="59">
        <f t="shared" si="52"/>
        <v>0</v>
      </c>
      <c r="I1478" s="60"/>
    </row>
    <row r="1479" spans="1:9" x14ac:dyDescent="0.2">
      <c r="A1479" s="73">
        <v>159</v>
      </c>
      <c r="B1479" s="61">
        <f>Obv!C23</f>
        <v>12</v>
      </c>
      <c r="C1479" s="61">
        <f>Obv!D23</f>
        <v>506566</v>
      </c>
      <c r="D1479" s="61">
        <v>0</v>
      </c>
      <c r="E1479" s="61">
        <v>0</v>
      </c>
      <c r="F1479" s="61">
        <v>0</v>
      </c>
      <c r="G1479" s="59">
        <f t="shared" si="51"/>
        <v>6078.7920000000004</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24826285</v>
      </c>
      <c r="D1486" s="61">
        <v>0</v>
      </c>
      <c r="E1486" s="61">
        <v>0</v>
      </c>
      <c r="F1486" s="61">
        <v>0</v>
      </c>
      <c r="G1486" s="59">
        <f t="shared" si="51"/>
        <v>471699.41499999998</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24277772</v>
      </c>
      <c r="D1488" s="61">
        <v>0</v>
      </c>
      <c r="E1488" s="61">
        <v>0</v>
      </c>
      <c r="F1488" s="61">
        <v>0</v>
      </c>
      <c r="G1488" s="59">
        <f t="shared" si="51"/>
        <v>509833.21200000006</v>
      </c>
      <c r="H1488" s="59">
        <f t="shared" si="52"/>
        <v>0</v>
      </c>
      <c r="I1488" s="60"/>
    </row>
    <row r="1489" spans="1:9" x14ac:dyDescent="0.2">
      <c r="A1489" s="73">
        <v>159</v>
      </c>
      <c r="B1489" s="61">
        <f>Obv!C33</f>
        <v>22</v>
      </c>
      <c r="C1489" s="61">
        <f>Obv!D33</f>
        <v>15873845</v>
      </c>
      <c r="D1489" s="61">
        <v>0</v>
      </c>
      <c r="E1489" s="61">
        <v>0</v>
      </c>
      <c r="F1489" s="61">
        <v>0</v>
      </c>
      <c r="G1489" s="59">
        <f t="shared" si="51"/>
        <v>349224.58999999997</v>
      </c>
      <c r="H1489" s="59">
        <f t="shared" si="52"/>
        <v>0</v>
      </c>
      <c r="I1489" s="60"/>
    </row>
    <row r="1490" spans="1:9" x14ac:dyDescent="0.2">
      <c r="A1490" s="73">
        <v>159</v>
      </c>
      <c r="B1490" s="61">
        <f>Obv!C34</f>
        <v>23</v>
      </c>
      <c r="C1490" s="61">
        <f>Obv!D34</f>
        <v>8173870</v>
      </c>
      <c r="D1490" s="61">
        <v>0</v>
      </c>
      <c r="E1490" s="61">
        <v>0</v>
      </c>
      <c r="F1490" s="61">
        <v>0</v>
      </c>
      <c r="G1490" s="59">
        <f t="shared" si="51"/>
        <v>187999.01</v>
      </c>
      <c r="H1490" s="59">
        <f t="shared" si="52"/>
        <v>0</v>
      </c>
      <c r="I1490" s="60"/>
    </row>
    <row r="1491" spans="1:9" x14ac:dyDescent="0.2">
      <c r="A1491" s="73">
        <v>159</v>
      </c>
      <c r="B1491" s="61">
        <f>Obv!C35</f>
        <v>24</v>
      </c>
      <c r="C1491" s="61">
        <f>Obv!D35</f>
        <v>37321</v>
      </c>
      <c r="D1491" s="61">
        <v>0</v>
      </c>
      <c r="E1491" s="61">
        <v>0</v>
      </c>
      <c r="F1491" s="61">
        <v>0</v>
      </c>
      <c r="G1491" s="59">
        <f t="shared" si="51"/>
        <v>895.70400000000006</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149817</v>
      </c>
      <c r="D1493" s="61">
        <v>0</v>
      </c>
      <c r="E1493" s="61">
        <v>0</v>
      </c>
      <c r="F1493" s="61">
        <v>0</v>
      </c>
      <c r="G1493" s="59">
        <f t="shared" si="51"/>
        <v>3895.2419999999997</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42919</v>
      </c>
      <c r="D1495" s="61">
        <v>0</v>
      </c>
      <c r="E1495" s="61">
        <v>0</v>
      </c>
      <c r="F1495" s="61">
        <v>0</v>
      </c>
      <c r="G1495" s="59">
        <f t="shared" si="51"/>
        <v>1201.732</v>
      </c>
      <c r="H1495" s="59">
        <f t="shared" si="52"/>
        <v>0</v>
      </c>
      <c r="I1495" s="60"/>
    </row>
    <row r="1496" spans="1:9" x14ac:dyDescent="0.2">
      <c r="A1496" s="73">
        <v>159</v>
      </c>
      <c r="B1496" s="61">
        <f>Obv!C40</f>
        <v>29</v>
      </c>
      <c r="C1496" s="61">
        <f>Obv!D40</f>
        <v>548513</v>
      </c>
      <c r="D1496" s="61">
        <v>0</v>
      </c>
      <c r="E1496" s="61">
        <v>0</v>
      </c>
      <c r="F1496" s="61">
        <v>0</v>
      </c>
      <c r="G1496" s="59">
        <f t="shared" si="51"/>
        <v>15906.877</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1838506</v>
      </c>
      <c r="D1503" s="61">
        <v>0</v>
      </c>
      <c r="E1503" s="61">
        <v>0</v>
      </c>
      <c r="F1503" s="61">
        <v>0</v>
      </c>
      <c r="G1503" s="59">
        <f t="shared" si="53"/>
        <v>66186.216</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1838506</v>
      </c>
      <c r="D1557" s="61">
        <v>0</v>
      </c>
      <c r="E1557" s="61">
        <v>0</v>
      </c>
      <c r="F1557" s="61">
        <v>0</v>
      </c>
      <c r="G1557" s="59">
        <f t="shared" si="55"/>
        <v>165465.54</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1835253</v>
      </c>
      <c r="D1559" s="61">
        <v>0</v>
      </c>
      <c r="E1559" s="61">
        <v>0</v>
      </c>
      <c r="F1559" s="61">
        <v>0</v>
      </c>
      <c r="G1559" s="59">
        <f t="shared" si="55"/>
        <v>168843.27599999998</v>
      </c>
      <c r="H1559" s="59">
        <f t="shared" si="56"/>
        <v>0</v>
      </c>
      <c r="I1559" s="60"/>
    </row>
    <row r="1560" spans="1:9" x14ac:dyDescent="0.2">
      <c r="A1560" s="73">
        <v>159</v>
      </c>
      <c r="B1560" s="61">
        <f>Obv!C104</f>
        <v>93</v>
      </c>
      <c r="C1560" s="61">
        <f>Obv!D104</f>
        <v>3253</v>
      </c>
      <c r="D1560" s="61">
        <v>0</v>
      </c>
      <c r="E1560" s="61">
        <v>0</v>
      </c>
      <c r="F1560" s="61">
        <v>0</v>
      </c>
      <c r="G1560" s="59">
        <f t="shared" si="55"/>
        <v>302.529</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38"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4</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21053</v>
      </c>
      <c r="C6" s="12"/>
      <c r="D6" s="401" t="s">
        <v>3128</v>
      </c>
      <c r="E6" s="402"/>
      <c r="F6" s="15" t="s">
        <v>237</v>
      </c>
      <c r="G6" s="12"/>
      <c r="H6" s="12"/>
      <c r="I6" s="12"/>
      <c r="J6" s="409">
        <f>SUM(Skriveni!G2:G1561)</f>
        <v>557844161.62500024</v>
      </c>
      <c r="K6" s="409"/>
    </row>
    <row r="7" spans="1:11" ht="3" customHeight="1" x14ac:dyDescent="0.2">
      <c r="A7" s="12"/>
      <c r="B7" s="12"/>
      <c r="C7" s="12"/>
      <c r="D7" s="12"/>
      <c r="E7" s="12"/>
      <c r="F7" s="12"/>
      <c r="G7" s="12"/>
      <c r="H7" s="12"/>
      <c r="I7" s="12"/>
      <c r="J7" s="12"/>
      <c r="K7" s="12"/>
    </row>
    <row r="8" spans="1:11" ht="15" customHeight="1" x14ac:dyDescent="0.2">
      <c r="A8" s="22" t="s">
        <v>3125</v>
      </c>
      <c r="B8" s="27">
        <v>1286030</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47000</v>
      </c>
      <c r="C12" s="398" t="s">
        <v>1906</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62820859976</v>
      </c>
    </row>
    <row r="15" spans="1:11" ht="3" customHeight="1" x14ac:dyDescent="0.2">
      <c r="A15" s="12"/>
      <c r="B15" s="12"/>
      <c r="C15" s="12"/>
      <c r="D15" s="12"/>
      <c r="E15" s="12"/>
      <c r="F15" s="12"/>
      <c r="G15" s="12"/>
      <c r="H15" s="12"/>
      <c r="I15" s="12"/>
      <c r="J15" s="12"/>
      <c r="K15" s="12"/>
    </row>
    <row r="16" spans="1:11" ht="15" customHeight="1" x14ac:dyDescent="0.2">
      <c r="A16" s="22" t="s">
        <v>3130</v>
      </c>
      <c r="B16" s="14">
        <v>11</v>
      </c>
      <c r="C16" s="351" t="str">
        <f>IF(B16&gt;0,LOOKUP(B16,A66:A74,B66:B74),"Razina nije upisana")</f>
        <v>Proračunski korisnik državnog proračuna i glava unutar nadležnog ministarstva</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8542</v>
      </c>
      <c r="C18" s="351" t="str">
        <f xml:space="preserve"> IF(B18&gt;0,LOOKUP(B18,Sifre!A255:A869,Sifre!B255:B869),"Djelatnost nije upisana")</f>
        <v xml:space="preserve">Visoko obrazovanje </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80</v>
      </c>
      <c r="C20" s="351" t="str">
        <f>IF(B20&lt;&gt;"","Razdjel: " &amp; LOOKUP(B20,A666:A713,B666:B713),"Razdjel nije upisan")</f>
        <v>Razdjel: MINISTARSTVO ZNANOSTI I OBRAZOVANJA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179</v>
      </c>
      <c r="C22" s="351" t="str">
        <f>IF(B22&gt;0, "Županija: " &amp; LOOKUP(H2,A83:A103,B83:B103) &amp; ", grad/općina: " &amp; LOOKUP(B22,A107:A663,B107:B663),"Šifra grada/općine nije upisana")</f>
        <v>Županija: KARLOVAČKA, grad/općina: KARLOVAC</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4301</v>
      </c>
      <c r="C31" s="358" t="s">
        <v>1591</v>
      </c>
      <c r="D31" s="390"/>
      <c r="E31" s="82" t="str">
        <f>IF(Kont!E292&gt;0,Kont!E292,"Nema")</f>
        <v>Nema</v>
      </c>
      <c r="F31" s="12"/>
      <c r="G31" s="13" t="s">
        <v>1449</v>
      </c>
      <c r="H31" s="385" t="s">
        <v>4299</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4300</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23053681</v>
      </c>
      <c r="K39" s="114">
        <f>PRRAS!E12</f>
        <v>24022601</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22632528</v>
      </c>
      <c r="K40" s="117">
        <f>PRRAS!E159</f>
        <v>24703947</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5763721</v>
      </c>
      <c r="K41" s="117">
        <f>PRRAS!E648</f>
        <v>4584259</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25039446</v>
      </c>
      <c r="K43" s="114">
        <f>Bil!E13</f>
        <v>20915930</v>
      </c>
    </row>
    <row r="44" spans="1:11" ht="12.95" customHeight="1" x14ac:dyDescent="0.2">
      <c r="A44" s="363"/>
      <c r="B44" s="366" t="str">
        <f>Bil!B74</f>
        <v>Financijska imovina (AOP 064+073+081+112+128+140+157+158)</v>
      </c>
      <c r="C44" s="367"/>
      <c r="D44" s="367"/>
      <c r="E44" s="367"/>
      <c r="F44" s="367"/>
      <c r="G44" s="367"/>
      <c r="H44" s="367"/>
      <c r="I44" s="115">
        <f>Bil!C74</f>
        <v>63</v>
      </c>
      <c r="J44" s="116">
        <f>Bil!D74</f>
        <v>14814500</v>
      </c>
      <c r="K44" s="117">
        <f>Bil!E74</f>
        <v>13898186</v>
      </c>
    </row>
    <row r="45" spans="1:11" ht="12.95" customHeight="1" x14ac:dyDescent="0.2">
      <c r="A45" s="363"/>
      <c r="B45" s="366" t="str">
        <f>Bil!B174</f>
        <v xml:space="preserve">Obveze (AOP 164+175+176+192+220) </v>
      </c>
      <c r="C45" s="367"/>
      <c r="D45" s="367"/>
      <c r="E45" s="367"/>
      <c r="F45" s="367"/>
      <c r="G45" s="367"/>
      <c r="H45" s="367"/>
      <c r="I45" s="115">
        <f>Bil!C174</f>
        <v>163</v>
      </c>
      <c r="J45" s="116">
        <f>Bil!D174</f>
        <v>1957631</v>
      </c>
      <c r="K45" s="117">
        <f>Bil!E174</f>
        <v>1838507</v>
      </c>
    </row>
    <row r="46" spans="1:11" ht="12.95" customHeight="1" x14ac:dyDescent="0.2">
      <c r="A46" s="364"/>
      <c r="B46" s="369" t="str">
        <f>Bil!B234</f>
        <v>Vlastiti izvori (224 + 232 - 236 + 240 do 242)</v>
      </c>
      <c r="C46" s="370"/>
      <c r="D46" s="370"/>
      <c r="E46" s="370"/>
      <c r="F46" s="370"/>
      <c r="G46" s="370"/>
      <c r="H46" s="370"/>
      <c r="I46" s="118">
        <f>Bil!C234</f>
        <v>223</v>
      </c>
      <c r="J46" s="119">
        <f>Bil!D234</f>
        <v>37896316</v>
      </c>
      <c r="K46" s="120">
        <f>Bil!E234</f>
        <v>32975608</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22865448</v>
      </c>
      <c r="K50" s="117">
        <f>RasF!E121</f>
        <v>25202063</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22865448</v>
      </c>
      <c r="K51" s="120">
        <f>RasF!E148</f>
        <v>25202063</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2625</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2625</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1957631</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1838506</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1838506</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401" activePane="bottomLeft" state="frozen"/>
      <selection pane="bottomLeft" activeCell="E657" sqref="E657"/>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21053</v>
      </c>
      <c r="C4" s="429"/>
      <c r="D4" s="429"/>
      <c r="E4" s="430">
        <f>SUM(Skriveni!G2:G976)</f>
        <v>391824484.47000003</v>
      </c>
      <c r="F4" s="431"/>
    </row>
    <row r="5" spans="1:7" s="23" customFormat="1" ht="15" customHeight="1" x14ac:dyDescent="0.2">
      <c r="B5" s="428" t="str">
        <f>"Naziv: "&amp;IF(RefStr!B10&lt;&gt;"",RefStr!B10,"_______________________________________")</f>
        <v>Naziv: VELEUČILIŠTE U KARLOVCU</v>
      </c>
      <c r="C5" s="429"/>
      <c r="D5" s="429"/>
      <c r="E5" s="432" t="s">
        <v>7</v>
      </c>
      <c r="F5" s="432"/>
    </row>
    <row r="6" spans="1:7" s="23" customFormat="1" ht="15" customHeight="1" x14ac:dyDescent="0.2">
      <c r="A6" s="24"/>
      <c r="B6" s="426" t="str">
        <f xml:space="preserve"> "Razina: " &amp; RefStr!B16 &amp; ", Razdjel: " &amp; TEXT(INT(VALUE(RefStr!B20)), "000")</f>
        <v>Razina: 11, Razdjel: 080</v>
      </c>
      <c r="C6" s="427"/>
      <c r="D6" s="427"/>
      <c r="E6" s="427"/>
      <c r="F6" s="427"/>
    </row>
    <row r="7" spans="1:7" s="23" customFormat="1" ht="15" customHeight="1" x14ac:dyDescent="0.2">
      <c r="A7" s="24"/>
      <c r="B7" s="426" t="str">
        <f>"Djelatnost: " &amp; RefStr!B18 &amp; " " &amp; RefStr!C18</f>
        <v xml:space="preserve">Djelatnost: 8542 Visoko obrazovanje </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23053681</v>
      </c>
      <c r="E12" s="147">
        <f>E13+E50+E56+E85+E116+E134+E141+E147</f>
        <v>24022601</v>
      </c>
      <c r="F12" s="148">
        <f>IF(D12&lt;&gt;0,IF(E12/D12&gt;=100,"&gt;&gt;100",E12/D12*100),"-")</f>
        <v>104.20288629828789</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704333</v>
      </c>
      <c r="E56" s="147">
        <f>E57+E60+E65+E68+E71+E74+E77+E80</f>
        <v>1800725</v>
      </c>
      <c r="F56" s="150">
        <f t="shared" si="0"/>
        <v>255.66386922095089</v>
      </c>
    </row>
    <row r="57" spans="1:6" s="8" customFormat="1" x14ac:dyDescent="0.2">
      <c r="A57" s="145">
        <v>631</v>
      </c>
      <c r="B57" s="146" t="s">
        <v>913</v>
      </c>
      <c r="C57" s="345">
        <v>46</v>
      </c>
      <c r="D57" s="147">
        <f>D58+D59</f>
        <v>102764</v>
      </c>
      <c r="E57" s="147">
        <f>E58+E59</f>
        <v>0</v>
      </c>
      <c r="F57" s="150">
        <f t="shared" si="0"/>
        <v>0</v>
      </c>
    </row>
    <row r="58" spans="1:6" s="8" customFormat="1" x14ac:dyDescent="0.2">
      <c r="A58" s="145">
        <v>6311</v>
      </c>
      <c r="B58" s="146" t="s">
        <v>737</v>
      </c>
      <c r="C58" s="345">
        <v>47</v>
      </c>
      <c r="D58" s="149">
        <v>102764</v>
      </c>
      <c r="E58" s="149"/>
      <c r="F58" s="148">
        <f t="shared" si="0"/>
        <v>0</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16200</v>
      </c>
      <c r="E65" s="147">
        <f>SUM(E66:E67)</f>
        <v>0</v>
      </c>
      <c r="F65" s="150">
        <f t="shared" si="0"/>
        <v>0</v>
      </c>
    </row>
    <row r="66" spans="1:6" s="8" customFormat="1" x14ac:dyDescent="0.2">
      <c r="A66" s="145">
        <v>6331</v>
      </c>
      <c r="B66" s="146" t="s">
        <v>3697</v>
      </c>
      <c r="C66" s="345">
        <v>55</v>
      </c>
      <c r="D66" s="149">
        <v>16200</v>
      </c>
      <c r="E66" s="149"/>
      <c r="F66" s="148">
        <f t="shared" si="0"/>
        <v>0</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161716</v>
      </c>
      <c r="E68" s="147">
        <f>SUM(E69:E70)</f>
        <v>7314</v>
      </c>
      <c r="F68" s="150">
        <f t="shared" si="0"/>
        <v>4.5227435751564471</v>
      </c>
    </row>
    <row r="69" spans="1:6" s="8" customFormat="1" x14ac:dyDescent="0.2">
      <c r="A69" s="145">
        <v>6341</v>
      </c>
      <c r="B69" s="146" t="s">
        <v>3699</v>
      </c>
      <c r="C69" s="345">
        <v>58</v>
      </c>
      <c r="D69" s="149">
        <v>161716</v>
      </c>
      <c r="E69" s="149">
        <v>7314</v>
      </c>
      <c r="F69" s="148">
        <f t="shared" si="0"/>
        <v>4.5227435751564471</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100000</v>
      </c>
      <c r="E74" s="147">
        <f>SUM(E75:E76)</f>
        <v>1037500</v>
      </c>
      <c r="F74" s="150">
        <f t="shared" si="0"/>
        <v>1037.5</v>
      </c>
    </row>
    <row r="75" spans="1:6" s="8" customFormat="1" x14ac:dyDescent="0.2">
      <c r="A75" s="145" t="s">
        <v>1142</v>
      </c>
      <c r="B75" s="146" t="s">
        <v>3980</v>
      </c>
      <c r="C75" s="345">
        <v>64</v>
      </c>
      <c r="D75" s="149"/>
      <c r="E75" s="149">
        <v>1037500</v>
      </c>
      <c r="F75" s="148" t="str">
        <f t="shared" si="0"/>
        <v>-</v>
      </c>
    </row>
    <row r="76" spans="1:6" s="8" customFormat="1" x14ac:dyDescent="0.2">
      <c r="A76" s="145" t="s">
        <v>3981</v>
      </c>
      <c r="B76" s="146" t="s">
        <v>3982</v>
      </c>
      <c r="C76" s="345">
        <v>65</v>
      </c>
      <c r="D76" s="149">
        <v>100000</v>
      </c>
      <c r="E76" s="149"/>
      <c r="F76" s="148">
        <f t="shared" si="0"/>
        <v>0</v>
      </c>
    </row>
    <row r="77" spans="1:6" s="8" customFormat="1" x14ac:dyDescent="0.2">
      <c r="A77" s="145" t="s">
        <v>3983</v>
      </c>
      <c r="B77" s="146" t="s">
        <v>919</v>
      </c>
      <c r="C77" s="345">
        <v>66</v>
      </c>
      <c r="D77" s="147">
        <f>SUM(D78:D79)</f>
        <v>0</v>
      </c>
      <c r="E77" s="147">
        <f>SUM(E78:E79)</f>
        <v>400000</v>
      </c>
      <c r="F77" s="150" t="str">
        <f t="shared" si="0"/>
        <v>-</v>
      </c>
    </row>
    <row r="78" spans="1:6" s="8" customFormat="1" x14ac:dyDescent="0.2">
      <c r="A78" s="145" t="s">
        <v>3984</v>
      </c>
      <c r="B78" s="146" t="s">
        <v>920</v>
      </c>
      <c r="C78" s="345">
        <v>67</v>
      </c>
      <c r="D78" s="149"/>
      <c r="E78" s="149">
        <v>400000</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323653</v>
      </c>
      <c r="E80" s="147">
        <f>SUM(E81:E84)</f>
        <v>355911</v>
      </c>
      <c r="F80" s="150">
        <f t="shared" si="1"/>
        <v>109.9668472098204</v>
      </c>
    </row>
    <row r="81" spans="1:6" s="8" customFormat="1" x14ac:dyDescent="0.2">
      <c r="A81" s="152">
        <v>6391</v>
      </c>
      <c r="B81" s="153" t="s">
        <v>924</v>
      </c>
      <c r="C81" s="345">
        <v>70</v>
      </c>
      <c r="D81" s="149"/>
      <c r="E81" s="149">
        <v>17691</v>
      </c>
      <c r="F81" s="148" t="str">
        <f t="shared" si="1"/>
        <v>-</v>
      </c>
    </row>
    <row r="82" spans="1:6" s="8" customFormat="1" x14ac:dyDescent="0.2">
      <c r="A82" s="152">
        <v>6392</v>
      </c>
      <c r="B82" s="153" t="s">
        <v>925</v>
      </c>
      <c r="C82" s="345">
        <v>71</v>
      </c>
      <c r="D82" s="149"/>
      <c r="E82" s="149">
        <v>100000</v>
      </c>
      <c r="F82" s="148" t="str">
        <f t="shared" si="1"/>
        <v>-</v>
      </c>
    </row>
    <row r="83" spans="1:6" s="8" customFormat="1" ht="24" x14ac:dyDescent="0.2">
      <c r="A83" s="152">
        <v>6393</v>
      </c>
      <c r="B83" s="153" t="s">
        <v>926</v>
      </c>
      <c r="C83" s="345">
        <v>72</v>
      </c>
      <c r="D83" s="149">
        <v>323653</v>
      </c>
      <c r="E83" s="149">
        <v>238220</v>
      </c>
      <c r="F83" s="148">
        <f t="shared" si="1"/>
        <v>73.603519819065482</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7854</v>
      </c>
      <c r="E85" s="147">
        <f>E86+E94+E101+E109</f>
        <v>275</v>
      </c>
      <c r="F85" s="150">
        <f t="shared" si="1"/>
        <v>3.5014005602240896</v>
      </c>
    </row>
    <row r="86" spans="1:6" s="8" customFormat="1" x14ac:dyDescent="0.2">
      <c r="A86" s="145">
        <v>641</v>
      </c>
      <c r="B86" s="146" t="s">
        <v>929</v>
      </c>
      <c r="C86" s="345">
        <v>75</v>
      </c>
      <c r="D86" s="147">
        <f>SUM(D87:D93)</f>
        <v>7854</v>
      </c>
      <c r="E86" s="147">
        <f>SUM(E87:E93)</f>
        <v>275</v>
      </c>
      <c r="F86" s="150">
        <f t="shared" si="1"/>
        <v>3.5014005602240896</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948</v>
      </c>
      <c r="E88" s="149">
        <v>275</v>
      </c>
      <c r="F88" s="148">
        <f t="shared" si="1"/>
        <v>29.008438818565402</v>
      </c>
    </row>
    <row r="89" spans="1:6" s="8" customFormat="1" x14ac:dyDescent="0.2">
      <c r="A89" s="145">
        <v>6414</v>
      </c>
      <c r="B89" s="146" t="s">
        <v>3157</v>
      </c>
      <c r="C89" s="345">
        <v>78</v>
      </c>
      <c r="D89" s="149">
        <v>659</v>
      </c>
      <c r="E89" s="149"/>
      <c r="F89" s="148">
        <f t="shared" si="1"/>
        <v>0</v>
      </c>
    </row>
    <row r="90" spans="1:6" s="8" customFormat="1" x14ac:dyDescent="0.2">
      <c r="A90" s="145">
        <v>6415</v>
      </c>
      <c r="B90" s="146" t="s">
        <v>4278</v>
      </c>
      <c r="C90" s="345">
        <v>79</v>
      </c>
      <c r="D90" s="149">
        <v>6247</v>
      </c>
      <c r="E90" s="149"/>
      <c r="F90" s="148">
        <f t="shared" si="1"/>
        <v>0</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9511435</v>
      </c>
      <c r="E116" s="147">
        <f>E117+E122+E130</f>
        <v>7881779</v>
      </c>
      <c r="F116" s="150">
        <f t="shared" si="1"/>
        <v>82.866349819979845</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9511435</v>
      </c>
      <c r="E122" s="147">
        <f>SUM(E123:E129)</f>
        <v>7881779</v>
      </c>
      <c r="F122" s="150">
        <f t="shared" si="1"/>
        <v>82.866349819979845</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9511435</v>
      </c>
      <c r="E127" s="149">
        <v>7881779</v>
      </c>
      <c r="F127" s="148">
        <f t="shared" si="1"/>
        <v>82.866349819979845</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203487</v>
      </c>
      <c r="E134" s="147">
        <f>E135+E138</f>
        <v>351678</v>
      </c>
      <c r="F134" s="150">
        <f t="shared" si="1"/>
        <v>172.82578248241902</v>
      </c>
    </row>
    <row r="135" spans="1:6" s="8" customFormat="1" x14ac:dyDescent="0.2">
      <c r="A135" s="145">
        <v>661</v>
      </c>
      <c r="B135" s="146" t="s">
        <v>425</v>
      </c>
      <c r="C135" s="345">
        <v>124</v>
      </c>
      <c r="D135" s="147">
        <f>SUM(D136:D137)</f>
        <v>183713</v>
      </c>
      <c r="E135" s="147">
        <f>SUM(E136:E137)</f>
        <v>286223</v>
      </c>
      <c r="F135" s="150">
        <f t="shared" si="1"/>
        <v>155.79899081719856</v>
      </c>
    </row>
    <row r="136" spans="1:6" s="8" customFormat="1" x14ac:dyDescent="0.2">
      <c r="A136" s="145">
        <v>6614</v>
      </c>
      <c r="B136" s="146" t="s">
        <v>3893</v>
      </c>
      <c r="C136" s="345">
        <v>125</v>
      </c>
      <c r="D136" s="149">
        <v>6462</v>
      </c>
      <c r="E136" s="149">
        <v>5514</v>
      </c>
      <c r="F136" s="148">
        <f t="shared" si="1"/>
        <v>85.329619312906217</v>
      </c>
    </row>
    <row r="137" spans="1:6" s="8" customFormat="1" x14ac:dyDescent="0.2">
      <c r="A137" s="145">
        <v>6615</v>
      </c>
      <c r="B137" s="146" t="s">
        <v>3894</v>
      </c>
      <c r="C137" s="345">
        <v>126</v>
      </c>
      <c r="D137" s="149">
        <v>177251</v>
      </c>
      <c r="E137" s="149">
        <v>280709</v>
      </c>
      <c r="F137" s="148">
        <f t="shared" si="1"/>
        <v>158.36807690788768</v>
      </c>
    </row>
    <row r="138" spans="1:6" s="8" customFormat="1" x14ac:dyDescent="0.2">
      <c r="A138" s="145">
        <v>663</v>
      </c>
      <c r="B138" s="151" t="s">
        <v>426</v>
      </c>
      <c r="C138" s="345">
        <v>127</v>
      </c>
      <c r="D138" s="147">
        <f>SUM(D139:D140)</f>
        <v>19774</v>
      </c>
      <c r="E138" s="147">
        <f>SUM(E139:E140)</f>
        <v>65455</v>
      </c>
      <c r="F138" s="150">
        <f t="shared" si="1"/>
        <v>331.01547486598565</v>
      </c>
    </row>
    <row r="139" spans="1:6" s="8" customFormat="1" x14ac:dyDescent="0.2">
      <c r="A139" s="145">
        <v>6631</v>
      </c>
      <c r="B139" s="146" t="s">
        <v>1502</v>
      </c>
      <c r="C139" s="345">
        <v>128</v>
      </c>
      <c r="D139" s="149">
        <v>17873</v>
      </c>
      <c r="E139" s="149">
        <v>65455</v>
      </c>
      <c r="F139" s="148">
        <f t="shared" si="1"/>
        <v>366.222794158787</v>
      </c>
    </row>
    <row r="140" spans="1:6" s="8" customFormat="1" x14ac:dyDescent="0.2">
      <c r="A140" s="145">
        <v>6632</v>
      </c>
      <c r="B140" s="151" t="s">
        <v>1503</v>
      </c>
      <c r="C140" s="345">
        <v>129</v>
      </c>
      <c r="D140" s="149">
        <v>1901</v>
      </c>
      <c r="E140" s="149"/>
      <c r="F140" s="148">
        <f t="shared" si="1"/>
        <v>0</v>
      </c>
    </row>
    <row r="141" spans="1:6" s="8" customFormat="1" x14ac:dyDescent="0.2">
      <c r="A141" s="145">
        <v>67</v>
      </c>
      <c r="B141" s="151" t="s">
        <v>427</v>
      </c>
      <c r="C141" s="345">
        <v>130</v>
      </c>
      <c r="D141" s="147">
        <f>D142+D146</f>
        <v>12622207</v>
      </c>
      <c r="E141" s="147">
        <f>E142+E146</f>
        <v>13826282</v>
      </c>
      <c r="F141" s="150">
        <f t="shared" si="1"/>
        <v>109.53933808881442</v>
      </c>
    </row>
    <row r="142" spans="1:6" s="8" customFormat="1" ht="24" x14ac:dyDescent="0.2">
      <c r="A142" s="145">
        <v>671</v>
      </c>
      <c r="B142" s="154" t="s">
        <v>1672</v>
      </c>
      <c r="C142" s="345">
        <v>131</v>
      </c>
      <c r="D142" s="147">
        <f>SUM(D143:D145)</f>
        <v>12622207</v>
      </c>
      <c r="E142" s="147">
        <f>SUM(E143:E145)</f>
        <v>13826282</v>
      </c>
      <c r="F142" s="150">
        <f t="shared" ref="F142:F205" si="2">IF(D142&lt;&gt;0,IF(E142/D142&gt;=100,"&gt;&gt;100",E142/D142*100),"-")</f>
        <v>109.53933808881442</v>
      </c>
    </row>
    <row r="143" spans="1:6" s="8" customFormat="1" x14ac:dyDescent="0.2">
      <c r="A143" s="145">
        <v>6711</v>
      </c>
      <c r="B143" s="146" t="s">
        <v>3582</v>
      </c>
      <c r="C143" s="345">
        <v>132</v>
      </c>
      <c r="D143" s="149">
        <v>12622207</v>
      </c>
      <c r="E143" s="149">
        <v>13826282</v>
      </c>
      <c r="F143" s="148">
        <f t="shared" si="2"/>
        <v>109.53933808881442</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4365</v>
      </c>
      <c r="E147" s="147">
        <f>E148+E158</f>
        <v>161862</v>
      </c>
      <c r="F147" s="150">
        <f t="shared" si="2"/>
        <v>3708.1786941580758</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4365</v>
      </c>
      <c r="E158" s="149">
        <v>161862</v>
      </c>
      <c r="F158" s="148">
        <f t="shared" si="2"/>
        <v>3708.1786941580758</v>
      </c>
    </row>
    <row r="159" spans="1:6" s="8" customFormat="1" x14ac:dyDescent="0.2">
      <c r="A159" s="145">
        <v>3</v>
      </c>
      <c r="B159" s="146" t="s">
        <v>430</v>
      </c>
      <c r="C159" s="345">
        <v>148</v>
      </c>
      <c r="D159" s="147">
        <f>D160+D171+D204+D223+D232+D257+D268</f>
        <v>22632528</v>
      </c>
      <c r="E159" s="147">
        <f>E160+E171+E204+E223+E232+E257+E268</f>
        <v>24703947</v>
      </c>
      <c r="F159" s="150">
        <f t="shared" si="2"/>
        <v>109.1523978231685</v>
      </c>
    </row>
    <row r="160" spans="1:6" s="8" customFormat="1" x14ac:dyDescent="0.2">
      <c r="A160" s="145">
        <v>31</v>
      </c>
      <c r="B160" s="146" t="s">
        <v>431</v>
      </c>
      <c r="C160" s="345">
        <v>149</v>
      </c>
      <c r="D160" s="147">
        <f>D161+D166+D167</f>
        <v>14590986</v>
      </c>
      <c r="E160" s="147">
        <f>E161+E166+E167</f>
        <v>15827397</v>
      </c>
      <c r="F160" s="150">
        <f t="shared" si="2"/>
        <v>108.47380019417467</v>
      </c>
    </row>
    <row r="161" spans="1:6" s="8" customFormat="1" x14ac:dyDescent="0.2">
      <c r="A161" s="145">
        <v>311</v>
      </c>
      <c r="B161" s="146" t="s">
        <v>432</v>
      </c>
      <c r="C161" s="345">
        <v>150</v>
      </c>
      <c r="D161" s="147">
        <f>SUM(D162:D165)</f>
        <v>12161810</v>
      </c>
      <c r="E161" s="147">
        <f>SUM(E162:E165)</f>
        <v>13180034</v>
      </c>
      <c r="F161" s="150">
        <f t="shared" si="2"/>
        <v>108.37230642478382</v>
      </c>
    </row>
    <row r="162" spans="1:6" s="8" customFormat="1" x14ac:dyDescent="0.2">
      <c r="A162" s="145">
        <v>3111</v>
      </c>
      <c r="B162" s="146" t="s">
        <v>385</v>
      </c>
      <c r="C162" s="345">
        <v>151</v>
      </c>
      <c r="D162" s="149">
        <v>12161810</v>
      </c>
      <c r="E162" s="149">
        <v>13180034</v>
      </c>
      <c r="F162" s="148">
        <f t="shared" si="2"/>
        <v>108.37230642478382</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337345</v>
      </c>
      <c r="E166" s="149">
        <v>379594</v>
      </c>
      <c r="F166" s="148">
        <f t="shared" si="2"/>
        <v>112.52397397323215</v>
      </c>
    </row>
    <row r="167" spans="1:6" s="8" customFormat="1" x14ac:dyDescent="0.2">
      <c r="A167" s="145">
        <v>313</v>
      </c>
      <c r="B167" s="146" t="s">
        <v>2853</v>
      </c>
      <c r="C167" s="345">
        <v>156</v>
      </c>
      <c r="D167" s="147">
        <f>SUM(D168:D170)</f>
        <v>2091831</v>
      </c>
      <c r="E167" s="147">
        <f>SUM(E168:E170)</f>
        <v>2267769</v>
      </c>
      <c r="F167" s="150">
        <f t="shared" si="2"/>
        <v>108.41071769182118</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1885081</v>
      </c>
      <c r="E169" s="149">
        <v>2043629</v>
      </c>
      <c r="F169" s="148">
        <f t="shared" si="2"/>
        <v>108.41067306922089</v>
      </c>
    </row>
    <row r="170" spans="1:6" s="8" customFormat="1" x14ac:dyDescent="0.2">
      <c r="A170" s="145">
        <v>3133</v>
      </c>
      <c r="B170" s="146" t="s">
        <v>264</v>
      </c>
      <c r="C170" s="345">
        <v>159</v>
      </c>
      <c r="D170" s="149">
        <v>206750</v>
      </c>
      <c r="E170" s="149">
        <v>224140</v>
      </c>
      <c r="F170" s="148">
        <f t="shared" si="2"/>
        <v>108.41112454655382</v>
      </c>
    </row>
    <row r="171" spans="1:6" s="8" customFormat="1" x14ac:dyDescent="0.2">
      <c r="A171" s="145">
        <v>32</v>
      </c>
      <c r="B171" s="146" t="s">
        <v>433</v>
      </c>
      <c r="C171" s="345">
        <v>160</v>
      </c>
      <c r="D171" s="147">
        <f>D172+D177+D185+D195+D196</f>
        <v>7820163</v>
      </c>
      <c r="E171" s="147">
        <f>E172+E177+E185+E195+E196</f>
        <v>8631092</v>
      </c>
      <c r="F171" s="150">
        <f t="shared" si="2"/>
        <v>110.36971991504525</v>
      </c>
    </row>
    <row r="172" spans="1:6" s="8" customFormat="1" x14ac:dyDescent="0.2">
      <c r="A172" s="145">
        <v>321</v>
      </c>
      <c r="B172" s="146" t="s">
        <v>3359</v>
      </c>
      <c r="C172" s="345">
        <v>161</v>
      </c>
      <c r="D172" s="147">
        <f>SUM(D173:D176)</f>
        <v>863509</v>
      </c>
      <c r="E172" s="147">
        <f>SUM(E173:E176)</f>
        <v>1019409</v>
      </c>
      <c r="F172" s="150">
        <f t="shared" si="2"/>
        <v>118.05424147287404</v>
      </c>
    </row>
    <row r="173" spans="1:6" s="8" customFormat="1" x14ac:dyDescent="0.2">
      <c r="A173" s="145">
        <v>3211</v>
      </c>
      <c r="B173" s="146" t="s">
        <v>3243</v>
      </c>
      <c r="C173" s="345">
        <v>162</v>
      </c>
      <c r="D173" s="149">
        <v>237218</v>
      </c>
      <c r="E173" s="149">
        <v>421754</v>
      </c>
      <c r="F173" s="148">
        <f t="shared" si="2"/>
        <v>177.7917358716455</v>
      </c>
    </row>
    <row r="174" spans="1:6" s="8" customFormat="1" x14ac:dyDescent="0.2">
      <c r="A174" s="145">
        <v>3212</v>
      </c>
      <c r="B174" s="146" t="s">
        <v>108</v>
      </c>
      <c r="C174" s="345">
        <v>163</v>
      </c>
      <c r="D174" s="149">
        <v>523037</v>
      </c>
      <c r="E174" s="149">
        <v>500828</v>
      </c>
      <c r="F174" s="148">
        <f t="shared" si="2"/>
        <v>95.753837682611362</v>
      </c>
    </row>
    <row r="175" spans="1:6" s="8" customFormat="1" x14ac:dyDescent="0.2">
      <c r="A175" s="145">
        <v>3213</v>
      </c>
      <c r="B175" s="146" t="s">
        <v>2999</v>
      </c>
      <c r="C175" s="345">
        <v>164</v>
      </c>
      <c r="D175" s="149">
        <v>103034</v>
      </c>
      <c r="E175" s="149">
        <v>96827</v>
      </c>
      <c r="F175" s="148">
        <f t="shared" si="2"/>
        <v>93.975774986897534</v>
      </c>
    </row>
    <row r="176" spans="1:6" s="8" customFormat="1" x14ac:dyDescent="0.2">
      <c r="A176" s="145">
        <v>3214</v>
      </c>
      <c r="B176" s="146" t="s">
        <v>2998</v>
      </c>
      <c r="C176" s="345">
        <v>165</v>
      </c>
      <c r="D176" s="149">
        <v>220</v>
      </c>
      <c r="E176" s="149"/>
      <c r="F176" s="148">
        <f t="shared" si="2"/>
        <v>0</v>
      </c>
    </row>
    <row r="177" spans="1:6" s="8" customFormat="1" x14ac:dyDescent="0.2">
      <c r="A177" s="145">
        <v>322</v>
      </c>
      <c r="B177" s="146" t="s">
        <v>3360</v>
      </c>
      <c r="C177" s="345">
        <v>166</v>
      </c>
      <c r="D177" s="147">
        <f>SUM(D178:D184)</f>
        <v>964328</v>
      </c>
      <c r="E177" s="147">
        <f>SUM(E178:E184)</f>
        <v>1149915</v>
      </c>
      <c r="F177" s="150">
        <f t="shared" si="2"/>
        <v>119.24521532092815</v>
      </c>
    </row>
    <row r="178" spans="1:6" s="8" customFormat="1" x14ac:dyDescent="0.2">
      <c r="A178" s="145">
        <v>3221</v>
      </c>
      <c r="B178" s="146" t="s">
        <v>3000</v>
      </c>
      <c r="C178" s="345">
        <v>167</v>
      </c>
      <c r="D178" s="149">
        <v>249346</v>
      </c>
      <c r="E178" s="149">
        <v>224480</v>
      </c>
      <c r="F178" s="148">
        <f t="shared" si="2"/>
        <v>90.027511971316969</v>
      </c>
    </row>
    <row r="179" spans="1:6" s="8" customFormat="1" x14ac:dyDescent="0.2">
      <c r="A179" s="145">
        <v>3222</v>
      </c>
      <c r="B179" s="146" t="s">
        <v>3001</v>
      </c>
      <c r="C179" s="345">
        <v>168</v>
      </c>
      <c r="D179" s="149">
        <v>127946</v>
      </c>
      <c r="E179" s="149">
        <v>57210</v>
      </c>
      <c r="F179" s="148">
        <f t="shared" si="2"/>
        <v>44.714176293123664</v>
      </c>
    </row>
    <row r="180" spans="1:6" s="8" customFormat="1" x14ac:dyDescent="0.2">
      <c r="A180" s="145">
        <v>3223</v>
      </c>
      <c r="B180" s="146" t="s">
        <v>3002</v>
      </c>
      <c r="C180" s="345">
        <v>169</v>
      </c>
      <c r="D180" s="149">
        <v>438901</v>
      </c>
      <c r="E180" s="149">
        <v>502634</v>
      </c>
      <c r="F180" s="148">
        <f t="shared" si="2"/>
        <v>114.52104233073061</v>
      </c>
    </row>
    <row r="181" spans="1:6" s="8" customFormat="1" x14ac:dyDescent="0.2">
      <c r="A181" s="145">
        <v>3224</v>
      </c>
      <c r="B181" s="146" t="s">
        <v>2236</v>
      </c>
      <c r="C181" s="345">
        <v>170</v>
      </c>
      <c r="D181" s="149">
        <v>107610</v>
      </c>
      <c r="E181" s="149">
        <v>261401</v>
      </c>
      <c r="F181" s="148">
        <f t="shared" si="2"/>
        <v>242.9151565839606</v>
      </c>
    </row>
    <row r="182" spans="1:6" s="8" customFormat="1" x14ac:dyDescent="0.2">
      <c r="A182" s="145">
        <v>3225</v>
      </c>
      <c r="B182" s="146" t="s">
        <v>504</v>
      </c>
      <c r="C182" s="345">
        <v>171</v>
      </c>
      <c r="D182" s="149">
        <v>3910</v>
      </c>
      <c r="E182" s="149">
        <v>5877</v>
      </c>
      <c r="F182" s="148">
        <f t="shared" si="2"/>
        <v>150.30690537084399</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36615</v>
      </c>
      <c r="E184" s="149">
        <v>98313</v>
      </c>
      <c r="F184" s="148">
        <f t="shared" si="2"/>
        <v>268.50471118394103</v>
      </c>
    </row>
    <row r="185" spans="1:6" s="8" customFormat="1" x14ac:dyDescent="0.2">
      <c r="A185" s="145">
        <v>323</v>
      </c>
      <c r="B185" s="146" t="s">
        <v>2312</v>
      </c>
      <c r="C185" s="345">
        <v>174</v>
      </c>
      <c r="D185" s="147">
        <f>SUM(D186:D194)</f>
        <v>5522446</v>
      </c>
      <c r="E185" s="147">
        <f>SUM(E186:E194)</f>
        <v>5280053</v>
      </c>
      <c r="F185" s="150">
        <f t="shared" si="2"/>
        <v>95.61076740270525</v>
      </c>
    </row>
    <row r="186" spans="1:6" s="8" customFormat="1" x14ac:dyDescent="0.2">
      <c r="A186" s="145">
        <v>3231</v>
      </c>
      <c r="B186" s="146" t="s">
        <v>855</v>
      </c>
      <c r="C186" s="345">
        <v>175</v>
      </c>
      <c r="D186" s="149">
        <v>117006</v>
      </c>
      <c r="E186" s="149">
        <v>145976</v>
      </c>
      <c r="F186" s="148">
        <f t="shared" si="2"/>
        <v>124.75941404714288</v>
      </c>
    </row>
    <row r="187" spans="1:6" s="8" customFormat="1" x14ac:dyDescent="0.2">
      <c r="A187" s="145">
        <v>3232</v>
      </c>
      <c r="B187" s="146" t="s">
        <v>3870</v>
      </c>
      <c r="C187" s="345">
        <v>176</v>
      </c>
      <c r="D187" s="149">
        <v>549053</v>
      </c>
      <c r="E187" s="149">
        <v>208569</v>
      </c>
      <c r="F187" s="148">
        <f t="shared" si="2"/>
        <v>37.987043145197276</v>
      </c>
    </row>
    <row r="188" spans="1:6" s="8" customFormat="1" x14ac:dyDescent="0.2">
      <c r="A188" s="145">
        <v>3233</v>
      </c>
      <c r="B188" s="146" t="s">
        <v>3871</v>
      </c>
      <c r="C188" s="345">
        <v>177</v>
      </c>
      <c r="D188" s="149">
        <v>75737</v>
      </c>
      <c r="E188" s="149">
        <v>92584</v>
      </c>
      <c r="F188" s="148">
        <f t="shared" si="2"/>
        <v>122.24408149253337</v>
      </c>
    </row>
    <row r="189" spans="1:6" s="8" customFormat="1" x14ac:dyDescent="0.2">
      <c r="A189" s="145">
        <v>3234</v>
      </c>
      <c r="B189" s="146" t="s">
        <v>3872</v>
      </c>
      <c r="C189" s="345">
        <v>178</v>
      </c>
      <c r="D189" s="149">
        <v>185156</v>
      </c>
      <c r="E189" s="149">
        <v>135451</v>
      </c>
      <c r="F189" s="148">
        <f t="shared" si="2"/>
        <v>73.155069238912048</v>
      </c>
    </row>
    <row r="190" spans="1:6" s="8" customFormat="1" x14ac:dyDescent="0.2">
      <c r="A190" s="145">
        <v>3235</v>
      </c>
      <c r="B190" s="146" t="s">
        <v>3873</v>
      </c>
      <c r="C190" s="345">
        <v>179</v>
      </c>
      <c r="D190" s="149">
        <v>65345</v>
      </c>
      <c r="E190" s="149">
        <v>79067</v>
      </c>
      <c r="F190" s="148">
        <f t="shared" si="2"/>
        <v>120.99931134746346</v>
      </c>
    </row>
    <row r="191" spans="1:6" s="8" customFormat="1" x14ac:dyDescent="0.2">
      <c r="A191" s="145">
        <v>3236</v>
      </c>
      <c r="B191" s="146" t="s">
        <v>3874</v>
      </c>
      <c r="C191" s="345">
        <v>180</v>
      </c>
      <c r="D191" s="149">
        <v>2958</v>
      </c>
      <c r="E191" s="149">
        <v>13590</v>
      </c>
      <c r="F191" s="148">
        <f t="shared" si="2"/>
        <v>459.43204868154163</v>
      </c>
    </row>
    <row r="192" spans="1:6" s="8" customFormat="1" x14ac:dyDescent="0.2">
      <c r="A192" s="145">
        <v>3237</v>
      </c>
      <c r="B192" s="146" t="s">
        <v>3875</v>
      </c>
      <c r="C192" s="345">
        <v>181</v>
      </c>
      <c r="D192" s="149">
        <v>4116360</v>
      </c>
      <c r="E192" s="149">
        <v>4049318</v>
      </c>
      <c r="F192" s="148">
        <f t="shared" si="2"/>
        <v>98.371328066544223</v>
      </c>
    </row>
    <row r="193" spans="1:6" s="8" customFormat="1" x14ac:dyDescent="0.2">
      <c r="A193" s="145">
        <v>3238</v>
      </c>
      <c r="B193" s="146" t="s">
        <v>702</v>
      </c>
      <c r="C193" s="345">
        <v>182</v>
      </c>
      <c r="D193" s="149">
        <v>39126</v>
      </c>
      <c r="E193" s="149">
        <v>25045</v>
      </c>
      <c r="F193" s="148">
        <f t="shared" si="2"/>
        <v>64.011143485150541</v>
      </c>
    </row>
    <row r="194" spans="1:6" s="8" customFormat="1" x14ac:dyDescent="0.2">
      <c r="A194" s="145">
        <v>3239</v>
      </c>
      <c r="B194" s="146" t="s">
        <v>703</v>
      </c>
      <c r="C194" s="345">
        <v>183</v>
      </c>
      <c r="D194" s="149">
        <v>371705</v>
      </c>
      <c r="E194" s="149">
        <v>530453</v>
      </c>
      <c r="F194" s="148">
        <f t="shared" si="2"/>
        <v>142.70806150038337</v>
      </c>
    </row>
    <row r="195" spans="1:6" s="8" customFormat="1" x14ac:dyDescent="0.2">
      <c r="A195" s="145">
        <v>324</v>
      </c>
      <c r="B195" s="146" t="s">
        <v>3584</v>
      </c>
      <c r="C195" s="345">
        <v>184</v>
      </c>
      <c r="D195" s="149">
        <v>210888</v>
      </c>
      <c r="E195" s="149">
        <v>263623</v>
      </c>
      <c r="F195" s="148">
        <f t="shared" si="2"/>
        <v>125.0061644095444</v>
      </c>
    </row>
    <row r="196" spans="1:6" s="8" customFormat="1" x14ac:dyDescent="0.2">
      <c r="A196" s="145">
        <v>329</v>
      </c>
      <c r="B196" s="146" t="s">
        <v>434</v>
      </c>
      <c r="C196" s="345">
        <v>185</v>
      </c>
      <c r="D196" s="147">
        <f>SUM(D197:D203)</f>
        <v>258992</v>
      </c>
      <c r="E196" s="147">
        <f>SUM(E197:E203)</f>
        <v>918092</v>
      </c>
      <c r="F196" s="150">
        <f t="shared" si="2"/>
        <v>354.48662506950018</v>
      </c>
    </row>
    <row r="197" spans="1:6" s="8" customFormat="1" x14ac:dyDescent="0.2">
      <c r="A197" s="145">
        <v>3291</v>
      </c>
      <c r="B197" s="151" t="s">
        <v>1965</v>
      </c>
      <c r="C197" s="345">
        <v>186</v>
      </c>
      <c r="D197" s="149">
        <v>97467</v>
      </c>
      <c r="E197" s="149">
        <v>99072</v>
      </c>
      <c r="F197" s="148">
        <f t="shared" si="2"/>
        <v>101.64671119455815</v>
      </c>
    </row>
    <row r="198" spans="1:6" s="8" customFormat="1" x14ac:dyDescent="0.2">
      <c r="A198" s="145">
        <v>3292</v>
      </c>
      <c r="B198" s="146" t="s">
        <v>1966</v>
      </c>
      <c r="C198" s="345">
        <v>187</v>
      </c>
      <c r="D198" s="149">
        <v>65069</v>
      </c>
      <c r="E198" s="149">
        <v>69662</v>
      </c>
      <c r="F198" s="148">
        <f t="shared" si="2"/>
        <v>107.05866080622108</v>
      </c>
    </row>
    <row r="199" spans="1:6" s="8" customFormat="1" x14ac:dyDescent="0.2">
      <c r="A199" s="145">
        <v>3293</v>
      </c>
      <c r="B199" s="146" t="s">
        <v>1967</v>
      </c>
      <c r="C199" s="345">
        <v>188</v>
      </c>
      <c r="D199" s="149">
        <v>57696</v>
      </c>
      <c r="E199" s="149">
        <v>54713</v>
      </c>
      <c r="F199" s="148">
        <f t="shared" si="2"/>
        <v>94.829797559622847</v>
      </c>
    </row>
    <row r="200" spans="1:6" s="8" customFormat="1" x14ac:dyDescent="0.2">
      <c r="A200" s="145">
        <v>3294</v>
      </c>
      <c r="B200" s="146" t="s">
        <v>2313</v>
      </c>
      <c r="C200" s="345">
        <v>189</v>
      </c>
      <c r="D200" s="149">
        <v>2740</v>
      </c>
      <c r="E200" s="149">
        <v>2980</v>
      </c>
      <c r="F200" s="148">
        <f t="shared" si="2"/>
        <v>108.75912408759123</v>
      </c>
    </row>
    <row r="201" spans="1:6" s="8" customFormat="1" x14ac:dyDescent="0.2">
      <c r="A201" s="145">
        <v>3295</v>
      </c>
      <c r="B201" s="146" t="s">
        <v>3585</v>
      </c>
      <c r="C201" s="345">
        <v>190</v>
      </c>
      <c r="D201" s="149">
        <v>24175</v>
      </c>
      <c r="E201" s="149">
        <v>40701</v>
      </c>
      <c r="F201" s="148">
        <f t="shared" si="2"/>
        <v>168.35987590486039</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11845</v>
      </c>
      <c r="E203" s="149">
        <v>650964</v>
      </c>
      <c r="F203" s="148">
        <f t="shared" si="2"/>
        <v>5495.6859434360485</v>
      </c>
    </row>
    <row r="204" spans="1:6" s="8" customFormat="1" x14ac:dyDescent="0.2">
      <c r="A204" s="145">
        <v>34</v>
      </c>
      <c r="B204" s="151" t="s">
        <v>435</v>
      </c>
      <c r="C204" s="345">
        <v>193</v>
      </c>
      <c r="D204" s="147">
        <f>D205+D210+D218</f>
        <v>44048</v>
      </c>
      <c r="E204" s="147">
        <f>E205+E210+E218</f>
        <v>42426</v>
      </c>
      <c r="F204" s="150">
        <f t="shared" si="2"/>
        <v>96.317653468942979</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44048</v>
      </c>
      <c r="E218" s="147">
        <f>SUM(E219:E222)</f>
        <v>42426</v>
      </c>
      <c r="F218" s="150">
        <f t="shared" si="3"/>
        <v>96.317653468942979</v>
      </c>
    </row>
    <row r="219" spans="1:6" s="8" customFormat="1" x14ac:dyDescent="0.2">
      <c r="A219" s="145">
        <v>3431</v>
      </c>
      <c r="B219" s="151" t="s">
        <v>3587</v>
      </c>
      <c r="C219" s="345">
        <v>208</v>
      </c>
      <c r="D219" s="149">
        <v>43988</v>
      </c>
      <c r="E219" s="149">
        <v>42413</v>
      </c>
      <c r="F219" s="148">
        <f t="shared" si="3"/>
        <v>96.419478039465318</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60</v>
      </c>
      <c r="E221" s="149">
        <v>13</v>
      </c>
      <c r="F221" s="148">
        <f t="shared" si="3"/>
        <v>21.666666666666668</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172971</v>
      </c>
      <c r="E257" s="147">
        <f>E258+E264</f>
        <v>199937</v>
      </c>
      <c r="F257" s="150">
        <f t="shared" si="3"/>
        <v>115.58989657225777</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172971</v>
      </c>
      <c r="E264" s="147">
        <f>SUM(E265:E267)</f>
        <v>199937</v>
      </c>
      <c r="F264" s="150">
        <f t="shared" si="3"/>
        <v>115.58989657225777</v>
      </c>
    </row>
    <row r="265" spans="1:6" s="8" customFormat="1" x14ac:dyDescent="0.2">
      <c r="A265" s="145">
        <v>3721</v>
      </c>
      <c r="B265" s="146" t="s">
        <v>1066</v>
      </c>
      <c r="C265" s="345">
        <v>254</v>
      </c>
      <c r="D265" s="149">
        <v>172971</v>
      </c>
      <c r="E265" s="149">
        <v>199937</v>
      </c>
      <c r="F265" s="148">
        <f t="shared" si="3"/>
        <v>115.58989657225777</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4360</v>
      </c>
      <c r="E268" s="147">
        <f>E269+E273+E277+E283</f>
        <v>3095</v>
      </c>
      <c r="F268" s="150">
        <f t="shared" si="3"/>
        <v>70.986238532110093</v>
      </c>
    </row>
    <row r="269" spans="1:6" s="8" customFormat="1" x14ac:dyDescent="0.2">
      <c r="A269" s="145">
        <v>381</v>
      </c>
      <c r="B269" s="146" t="s">
        <v>1549</v>
      </c>
      <c r="C269" s="345">
        <v>258</v>
      </c>
      <c r="D269" s="147">
        <f>SUM(D270:D272)</f>
        <v>4360</v>
      </c>
      <c r="E269" s="147">
        <f>SUM(E270:E272)</f>
        <v>3095</v>
      </c>
      <c r="F269" s="150">
        <f t="shared" si="3"/>
        <v>70.986238532110093</v>
      </c>
    </row>
    <row r="270" spans="1:6" s="8" customFormat="1" x14ac:dyDescent="0.2">
      <c r="A270" s="145">
        <v>3811</v>
      </c>
      <c r="B270" s="146" t="s">
        <v>4127</v>
      </c>
      <c r="C270" s="345">
        <v>259</v>
      </c>
      <c r="D270" s="149">
        <v>4360</v>
      </c>
      <c r="E270" s="149">
        <v>3095</v>
      </c>
      <c r="F270" s="148">
        <f t="shared" ref="F270:F299" si="4">IF(D270&lt;&gt;0,IF(E270/D270&gt;=100,"&gt;&gt;100",E270/D270*100),"-")</f>
        <v>70.986238532110093</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22632528</v>
      </c>
      <c r="E292" s="147">
        <f>E159-E290+E291</f>
        <v>24703947</v>
      </c>
      <c r="F292" s="150">
        <f t="shared" si="4"/>
        <v>109.1523978231685</v>
      </c>
    </row>
    <row r="293" spans="1:6" s="8" customFormat="1" x14ac:dyDescent="0.2">
      <c r="A293" s="145" t="s">
        <v>1215</v>
      </c>
      <c r="B293" s="146" t="s">
        <v>3441</v>
      </c>
      <c r="C293" s="345">
        <v>282</v>
      </c>
      <c r="D293" s="147">
        <f>IF(D12&gt;=D292,D12-D292,0)</f>
        <v>421153</v>
      </c>
      <c r="E293" s="147">
        <f>IF(E12&gt;=E292,E12-E292,0)</f>
        <v>0</v>
      </c>
      <c r="F293" s="150">
        <f t="shared" si="4"/>
        <v>0</v>
      </c>
    </row>
    <row r="294" spans="1:6" s="8" customFormat="1" x14ac:dyDescent="0.2">
      <c r="A294" s="145" t="s">
        <v>1215</v>
      </c>
      <c r="B294" s="146" t="s">
        <v>3442</v>
      </c>
      <c r="C294" s="345">
        <v>283</v>
      </c>
      <c r="D294" s="147">
        <f>IF(D292&gt;=D12,D292-D12,0)</f>
        <v>0</v>
      </c>
      <c r="E294" s="147">
        <f>IF(E292&gt;=E12,E292-E12,0)</f>
        <v>681346</v>
      </c>
      <c r="F294" s="150" t="str">
        <f t="shared" si="4"/>
        <v>-</v>
      </c>
    </row>
    <row r="295" spans="1:6" s="8" customFormat="1" x14ac:dyDescent="0.2">
      <c r="A295" s="145">
        <v>92211</v>
      </c>
      <c r="B295" s="146" t="s">
        <v>2926</v>
      </c>
      <c r="C295" s="345">
        <v>284</v>
      </c>
      <c r="D295" s="149">
        <v>5575488</v>
      </c>
      <c r="E295" s="149">
        <v>5763721</v>
      </c>
      <c r="F295" s="148">
        <f t="shared" si="4"/>
        <v>103.37608116096743</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232920</v>
      </c>
      <c r="E353" s="147">
        <f>E354+E366+E399+E403+E405</f>
        <v>498116</v>
      </c>
      <c r="F353" s="150">
        <f t="shared" si="5"/>
        <v>213.85711832388802</v>
      </c>
    </row>
    <row r="354" spans="1:6" s="8" customFormat="1" x14ac:dyDescent="0.2">
      <c r="A354" s="145">
        <v>41</v>
      </c>
      <c r="B354" s="146" t="s">
        <v>3020</v>
      </c>
      <c r="C354" s="345">
        <v>342</v>
      </c>
      <c r="D354" s="147">
        <f>D355+D359</f>
        <v>18842</v>
      </c>
      <c r="E354" s="147">
        <f>E355+E359</f>
        <v>22739</v>
      </c>
      <c r="F354" s="150">
        <f t="shared" si="5"/>
        <v>120.68251777942893</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18842</v>
      </c>
      <c r="E359" s="147">
        <f>SUM(E360:E365)</f>
        <v>22739</v>
      </c>
      <c r="F359" s="150">
        <f t="shared" si="5"/>
        <v>120.68251777942893</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v>18842</v>
      </c>
      <c r="E362" s="149">
        <v>22739</v>
      </c>
      <c r="F362" s="148">
        <f t="shared" si="5"/>
        <v>120.68251777942893</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214078</v>
      </c>
      <c r="E366" s="147">
        <f>E367+E372+E381+E386+E391+E394</f>
        <v>475377</v>
      </c>
      <c r="F366" s="150">
        <f t="shared" si="6"/>
        <v>222.05784807406647</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189214</v>
      </c>
      <c r="E372" s="147">
        <f>SUM(E373:E380)</f>
        <v>458316</v>
      </c>
      <c r="F372" s="150">
        <f t="shared" si="6"/>
        <v>242.22097730611898</v>
      </c>
    </row>
    <row r="373" spans="1:6" s="8" customFormat="1" x14ac:dyDescent="0.2">
      <c r="A373" s="145">
        <v>4221</v>
      </c>
      <c r="B373" s="146" t="s">
        <v>3941</v>
      </c>
      <c r="C373" s="345">
        <v>361</v>
      </c>
      <c r="D373" s="149">
        <v>36366</v>
      </c>
      <c r="E373" s="149">
        <v>126334</v>
      </c>
      <c r="F373" s="148">
        <f t="shared" si="6"/>
        <v>347.39591926524776</v>
      </c>
    </row>
    <row r="374" spans="1:6" s="8" customFormat="1" x14ac:dyDescent="0.2">
      <c r="A374" s="145">
        <v>4222</v>
      </c>
      <c r="B374" s="146" t="s">
        <v>3965</v>
      </c>
      <c r="C374" s="345">
        <v>362</v>
      </c>
      <c r="D374" s="149">
        <v>6661</v>
      </c>
      <c r="E374" s="149">
        <v>9698</v>
      </c>
      <c r="F374" s="148">
        <f t="shared" si="6"/>
        <v>145.59375469148776</v>
      </c>
    </row>
    <row r="375" spans="1:6" s="8" customFormat="1" x14ac:dyDescent="0.2">
      <c r="A375" s="145">
        <v>4223</v>
      </c>
      <c r="B375" s="146" t="s">
        <v>3943</v>
      </c>
      <c r="C375" s="345">
        <v>363</v>
      </c>
      <c r="D375" s="149"/>
      <c r="E375" s="149">
        <v>2088</v>
      </c>
      <c r="F375" s="148" t="str">
        <f t="shared" si="6"/>
        <v>-</v>
      </c>
    </row>
    <row r="376" spans="1:6" s="8" customFormat="1" x14ac:dyDescent="0.2">
      <c r="A376" s="145">
        <v>4224</v>
      </c>
      <c r="B376" s="146" t="s">
        <v>3944</v>
      </c>
      <c r="C376" s="345">
        <v>364</v>
      </c>
      <c r="D376" s="149">
        <v>55635</v>
      </c>
      <c r="E376" s="149">
        <v>2085</v>
      </c>
      <c r="F376" s="148">
        <f t="shared" si="6"/>
        <v>3.7476408735508224</v>
      </c>
    </row>
    <row r="377" spans="1:6" s="8" customFormat="1" x14ac:dyDescent="0.2">
      <c r="A377" s="145">
        <v>4225</v>
      </c>
      <c r="B377" s="146" t="s">
        <v>3945</v>
      </c>
      <c r="C377" s="345">
        <v>365</v>
      </c>
      <c r="D377" s="149">
        <v>58847</v>
      </c>
      <c r="E377" s="149">
        <v>115973</v>
      </c>
      <c r="F377" s="148">
        <f t="shared" si="6"/>
        <v>197.07546688871139</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31705</v>
      </c>
      <c r="E379" s="149">
        <v>202138</v>
      </c>
      <c r="F379" s="148">
        <f t="shared" si="6"/>
        <v>637.55874467749572</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24864</v>
      </c>
      <c r="E386" s="147">
        <f>SUM(E387:E390)</f>
        <v>17061</v>
      </c>
      <c r="F386" s="150">
        <f t="shared" si="6"/>
        <v>68.617277992277991</v>
      </c>
    </row>
    <row r="387" spans="1:6" s="8" customFormat="1" x14ac:dyDescent="0.2">
      <c r="A387" s="145">
        <v>4241</v>
      </c>
      <c r="B387" s="146" t="s">
        <v>2886</v>
      </c>
      <c r="C387" s="345">
        <v>375</v>
      </c>
      <c r="D387" s="149">
        <v>24864</v>
      </c>
      <c r="E387" s="149">
        <v>17061</v>
      </c>
      <c r="F387" s="148">
        <f t="shared" si="6"/>
        <v>68.617277992277991</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232920</v>
      </c>
      <c r="E411" s="147">
        <f>IF(E353&gt;=E301, E353-E301, 0)</f>
        <v>498116</v>
      </c>
      <c r="F411" s="150">
        <f t="shared" si="6"/>
        <v>213.85711832388802</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23053681</v>
      </c>
      <c r="E415" s="147">
        <f>E12+E301</f>
        <v>24022601</v>
      </c>
      <c r="F415" s="150">
        <f t="shared" si="6"/>
        <v>104.20288629828789</v>
      </c>
    </row>
    <row r="416" spans="1:6" s="8" customFormat="1" x14ac:dyDescent="0.2">
      <c r="A416" s="145" t="s">
        <v>1215</v>
      </c>
      <c r="B416" s="146" t="s">
        <v>1993</v>
      </c>
      <c r="C416" s="345">
        <v>404</v>
      </c>
      <c r="D416" s="147">
        <f>D292+D353</f>
        <v>22865448</v>
      </c>
      <c r="E416" s="147">
        <f>E292+E353</f>
        <v>25202063</v>
      </c>
      <c r="F416" s="150">
        <f t="shared" si="6"/>
        <v>110.21897755950376</v>
      </c>
    </row>
    <row r="417" spans="1:6" s="8" customFormat="1" x14ac:dyDescent="0.2">
      <c r="A417" s="145" t="s">
        <v>1215</v>
      </c>
      <c r="B417" s="146" t="s">
        <v>1994</v>
      </c>
      <c r="C417" s="345">
        <v>405</v>
      </c>
      <c r="D417" s="147">
        <f>IF(D415&gt;=D416,D415-D416,0)</f>
        <v>188233</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1179462</v>
      </c>
      <c r="F418" s="150" t="str">
        <f t="shared" si="6"/>
        <v>-</v>
      </c>
    </row>
    <row r="419" spans="1:6" s="8" customFormat="1" x14ac:dyDescent="0.2">
      <c r="A419" s="160" t="s">
        <v>1592</v>
      </c>
      <c r="B419" s="151" t="s">
        <v>1996</v>
      </c>
      <c r="C419" s="345">
        <v>407</v>
      </c>
      <c r="D419" s="147">
        <f>IF(D295-D296+D412-D413&gt;=0,D295-D296+D412-D413,0)</f>
        <v>5575488</v>
      </c>
      <c r="E419" s="147">
        <f>IF(E295-E296+E412-E413&gt;=0,E295-E296+E412-E413,0)</f>
        <v>5763721</v>
      </c>
      <c r="F419" s="150">
        <f t="shared" si="6"/>
        <v>103.37608116096743</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23053681</v>
      </c>
      <c r="E642" s="147">
        <f>E415+E423</f>
        <v>24022601</v>
      </c>
      <c r="F642" s="148">
        <f t="shared" si="10"/>
        <v>104.20288629828789</v>
      </c>
    </row>
    <row r="643" spans="1:6" s="8" customFormat="1" x14ac:dyDescent="0.2">
      <c r="A643" s="145" t="s">
        <v>1215</v>
      </c>
      <c r="B643" s="146" t="s">
        <v>1246</v>
      </c>
      <c r="C643" s="345">
        <v>630</v>
      </c>
      <c r="D643" s="147">
        <f>D416+D531</f>
        <v>22865448</v>
      </c>
      <c r="E643" s="147">
        <f>E416+E531</f>
        <v>25202063</v>
      </c>
      <c r="F643" s="148">
        <f t="shared" si="10"/>
        <v>110.21897755950376</v>
      </c>
    </row>
    <row r="644" spans="1:6" s="8" customFormat="1" x14ac:dyDescent="0.2">
      <c r="A644" s="145" t="s">
        <v>1215</v>
      </c>
      <c r="B644" s="146" t="s">
        <v>1247</v>
      </c>
      <c r="C644" s="345">
        <v>631</v>
      </c>
      <c r="D644" s="147">
        <f>IF(D642&gt;=D643,D642-D643,0)</f>
        <v>188233</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1179462</v>
      </c>
      <c r="F645" s="148" t="str">
        <f t="shared" si="10"/>
        <v>-</v>
      </c>
    </row>
    <row r="646" spans="1:6" s="8" customFormat="1" x14ac:dyDescent="0.2">
      <c r="A646" s="160" t="s">
        <v>2741</v>
      </c>
      <c r="B646" s="146" t="s">
        <v>1249</v>
      </c>
      <c r="C646" s="345">
        <v>633</v>
      </c>
      <c r="D646" s="147">
        <f>IF(D419-D420+D640-D641&gt;=0,D419-D420+D640-D641,0)</f>
        <v>5575488</v>
      </c>
      <c r="E646" s="147">
        <f>IF(E419-E420+E640-E641&gt;=0,E419-E420+E640-E641,0)</f>
        <v>5763721</v>
      </c>
      <c r="F646" s="148">
        <f t="shared" si="10"/>
        <v>103.37608116096743</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5763721</v>
      </c>
      <c r="E648" s="147">
        <f>IF(E644+E646-E645-E647&gt;=0,E644+E646-E645-E647,0)</f>
        <v>4584259</v>
      </c>
      <c r="F648" s="148">
        <f t="shared" si="10"/>
        <v>79.536448762873846</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1353125</v>
      </c>
      <c r="E650" s="158">
        <v>1402058</v>
      </c>
      <c r="F650" s="159">
        <f t="shared" si="10"/>
        <v>103.61629561200925</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4749802</v>
      </c>
      <c r="E652" s="149">
        <v>5404651</v>
      </c>
      <c r="F652" s="148">
        <f t="shared" ref="F652:F677" si="11">IF(D652&lt;&gt;0,IF(E652/D652&gt;=100,"&gt;&gt;100",E652/D652*100),"-")</f>
        <v>113.78686943160999</v>
      </c>
    </row>
    <row r="653" spans="1:6" s="8" customFormat="1" x14ac:dyDescent="0.2">
      <c r="A653" s="145" t="s">
        <v>1208</v>
      </c>
      <c r="B653" s="146" t="s">
        <v>2750</v>
      </c>
      <c r="C653" s="345">
        <v>639</v>
      </c>
      <c r="D653" s="149">
        <v>17135691</v>
      </c>
      <c r="E653" s="149">
        <v>16581519</v>
      </c>
      <c r="F653" s="148">
        <f t="shared" si="11"/>
        <v>96.765978097994406</v>
      </c>
    </row>
    <row r="654" spans="1:6" s="8" customFormat="1" x14ac:dyDescent="0.2">
      <c r="A654" s="145" t="s">
        <v>1209</v>
      </c>
      <c r="B654" s="146" t="s">
        <v>3586</v>
      </c>
      <c r="C654" s="345">
        <v>640</v>
      </c>
      <c r="D654" s="149">
        <v>16480842</v>
      </c>
      <c r="E654" s="149">
        <v>17036056</v>
      </c>
      <c r="F654" s="148">
        <f t="shared" si="11"/>
        <v>103.36884486848427</v>
      </c>
    </row>
    <row r="655" spans="1:6" s="8" customFormat="1" x14ac:dyDescent="0.2">
      <c r="A655" s="145">
        <v>11</v>
      </c>
      <c r="B655" s="146" t="s">
        <v>181</v>
      </c>
      <c r="C655" s="345">
        <v>641</v>
      </c>
      <c r="D655" s="147">
        <f>+D652+D653-D654</f>
        <v>5404651</v>
      </c>
      <c r="E655" s="147">
        <f>+E652+E653-E654</f>
        <v>4950114</v>
      </c>
      <c r="F655" s="150">
        <f t="shared" si="11"/>
        <v>91.589891743241154</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82</v>
      </c>
      <c r="E657" s="149">
        <v>87</v>
      </c>
      <c r="F657" s="148">
        <f t="shared" si="11"/>
        <v>106.09756097560977</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82</v>
      </c>
      <c r="E659" s="149">
        <v>85</v>
      </c>
      <c r="F659" s="148">
        <f t="shared" si="11"/>
        <v>103.65853658536585</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v>16200</v>
      </c>
      <c r="E664" s="149"/>
      <c r="F664" s="148">
        <f t="shared" si="11"/>
        <v>0</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161716</v>
      </c>
      <c r="E672" s="149">
        <v>7314</v>
      </c>
      <c r="F672" s="148">
        <f t="shared" si="11"/>
        <v>4.5227435751564471</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c r="E679" s="149">
        <v>1037500</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v>100000</v>
      </c>
      <c r="E681" s="149"/>
      <c r="F681" s="148"/>
    </row>
    <row r="682" spans="1:6" s="8" customFormat="1" x14ac:dyDescent="0.2">
      <c r="A682" s="152">
        <v>63811</v>
      </c>
      <c r="B682" s="163" t="s">
        <v>3137</v>
      </c>
      <c r="C682" s="345">
        <v>668</v>
      </c>
      <c r="D682" s="149"/>
      <c r="E682" s="149">
        <v>400000</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9508456</v>
      </c>
      <c r="E698" s="149">
        <v>7879166</v>
      </c>
      <c r="F698" s="148">
        <f t="shared" si="12"/>
        <v>82.864831051434635</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v>2979</v>
      </c>
      <c r="E700" s="149">
        <v>2613</v>
      </c>
      <c r="F700" s="148"/>
    </row>
    <row r="701" spans="1:6" s="8" customFormat="1" x14ac:dyDescent="0.2">
      <c r="A701" s="145">
        <v>31214</v>
      </c>
      <c r="B701" s="146" t="s">
        <v>3796</v>
      </c>
      <c r="C701" s="345">
        <v>687</v>
      </c>
      <c r="D701" s="149">
        <v>23978</v>
      </c>
      <c r="E701" s="149">
        <v>11963</v>
      </c>
      <c r="F701" s="148">
        <f>IF(D701&lt;&gt;0,IF(E701/D701&gt;=100,"&gt;&gt;100",E701/D701*100),"-")</f>
        <v>49.891567269997502</v>
      </c>
    </row>
    <row r="702" spans="1:6" s="8" customFormat="1" x14ac:dyDescent="0.2">
      <c r="A702" s="145">
        <v>31215</v>
      </c>
      <c r="B702" s="146" t="s">
        <v>1641</v>
      </c>
      <c r="C702" s="345">
        <v>688</v>
      </c>
      <c r="D702" s="149">
        <v>24021</v>
      </c>
      <c r="E702" s="149">
        <v>29884</v>
      </c>
      <c r="F702" s="148">
        <f>IF(D702&lt;&gt;0,IF(E702/D702&gt;=100,"&gt;&gt;100",E702/D702*100),"-")</f>
        <v>124.40780983306274</v>
      </c>
    </row>
    <row r="703" spans="1:6" s="8" customFormat="1" x14ac:dyDescent="0.2">
      <c r="A703" s="145">
        <v>32121</v>
      </c>
      <c r="B703" s="146" t="s">
        <v>3797</v>
      </c>
      <c r="C703" s="345">
        <v>689</v>
      </c>
      <c r="D703" s="149">
        <v>523037</v>
      </c>
      <c r="E703" s="149">
        <v>105008</v>
      </c>
      <c r="F703" s="148">
        <f>IF(D703&lt;&gt;0,IF(E703/D703&gt;=100,"&gt;&gt;100",E703/D703*100),"-")</f>
        <v>20.076591139823758</v>
      </c>
    </row>
    <row r="704" spans="1:6" s="8" customFormat="1" x14ac:dyDescent="0.2">
      <c r="A704" s="152" t="s">
        <v>1302</v>
      </c>
      <c r="B704" s="153" t="s">
        <v>1303</v>
      </c>
      <c r="C704" s="345">
        <v>690</v>
      </c>
      <c r="D704" s="149"/>
      <c r="E704" s="149">
        <v>1900</v>
      </c>
      <c r="F704" s="148"/>
    </row>
    <row r="705" spans="1:6" s="8" customFormat="1" x14ac:dyDescent="0.2">
      <c r="A705" s="145" t="s">
        <v>1642</v>
      </c>
      <c r="B705" s="146" t="s">
        <v>135</v>
      </c>
      <c r="C705" s="345">
        <v>691</v>
      </c>
      <c r="D705" s="149">
        <v>2645</v>
      </c>
      <c r="E705" s="149">
        <v>13590</v>
      </c>
      <c r="F705" s="148">
        <f>IF(D705&lt;&gt;0,IF(E705/D705&gt;=100,"&gt;&gt;100",E705/D705*100),"-")</f>
        <v>513.79962192816629</v>
      </c>
    </row>
    <row r="706" spans="1:6" s="8" customFormat="1" x14ac:dyDescent="0.2">
      <c r="A706" s="145" t="s">
        <v>3798</v>
      </c>
      <c r="B706" s="146" t="s">
        <v>3799</v>
      </c>
      <c r="C706" s="345">
        <v>692</v>
      </c>
      <c r="D706" s="149">
        <v>192361</v>
      </c>
      <c r="E706" s="149">
        <v>112530</v>
      </c>
      <c r="F706" s="148">
        <f>IF(D706&lt;&gt;0,IF(E706/D706&gt;=100,"&gt;&gt;100",E706/D706*100),"-")</f>
        <v>58.499383970763304</v>
      </c>
    </row>
    <row r="707" spans="1:6" s="8" customFormat="1" x14ac:dyDescent="0.2">
      <c r="A707" s="145" t="s">
        <v>3800</v>
      </c>
      <c r="B707" s="146" t="s">
        <v>3801</v>
      </c>
      <c r="C707" s="345">
        <v>693</v>
      </c>
      <c r="D707" s="149">
        <v>3223351</v>
      </c>
      <c r="E707" s="149">
        <v>2704406</v>
      </c>
      <c r="F707" s="148">
        <f>IF(D707&lt;&gt;0,IF(E707/D707&gt;=100,"&gt;&gt;100",E707/D707*100),"-")</f>
        <v>83.900450183675318</v>
      </c>
    </row>
    <row r="708" spans="1:6" s="8" customFormat="1" x14ac:dyDescent="0.2">
      <c r="A708" s="145" t="s">
        <v>136</v>
      </c>
      <c r="B708" s="146" t="s">
        <v>1134</v>
      </c>
      <c r="C708" s="345">
        <v>694</v>
      </c>
      <c r="D708" s="149">
        <v>489881</v>
      </c>
      <c r="E708" s="149">
        <v>516303</v>
      </c>
      <c r="F708" s="148">
        <f>IF(D708&lt;&gt;0,IF(E708/D708&gt;=100,"&gt;&gt;100",E708/D708*100),"-")</f>
        <v>105.39355476125836</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97467</v>
      </c>
      <c r="E710" s="149">
        <v>99072</v>
      </c>
      <c r="F710" s="148">
        <f t="shared" ref="F710:F773" si="13">IF(D710&lt;&gt;0,IF(E710/D710&gt;=100,"&gt;&gt;100",E710/D710*100),"-")</f>
        <v>101.64671119455815</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v>102500</v>
      </c>
      <c r="E789" s="149">
        <v>199937</v>
      </c>
      <c r="F789" s="148">
        <f t="shared" si="14"/>
        <v>195.06048780487805</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v>70471</v>
      </c>
      <c r="E793" s="149"/>
      <c r="F793" s="148">
        <f t="shared" si="14"/>
        <v>0</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Katarina Bukovac</v>
      </c>
      <c r="D995" s="293"/>
      <c r="E995" s="293"/>
    </row>
    <row r="996" spans="1:5" ht="15" customHeight="1" x14ac:dyDescent="0.2">
      <c r="A996" s="291" t="str">
        <f>IF(RefStr!H27="","Telefon za kontakt: _________________","Telefon za kontakt: " &amp; RefStr!H27)</f>
        <v>Telefon za kontakt: 047843505</v>
      </c>
      <c r="C996" s="292"/>
    </row>
    <row r="997" spans="1:5" ht="15" customHeight="1" x14ac:dyDescent="0.2">
      <c r="A997" s="291" t="str">
        <f>IF(RefStr!H33="","Odgovorna osoba: _____________________________","Odgovorna osoba: " &amp; RefStr!H33)</f>
        <v>Odgovorna osoba: NINA POPOVIĆ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2" activePane="bottomLeft" state="frozen"/>
      <selection pane="bottomLeft" activeCell="E57" sqref="E5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21053</v>
      </c>
      <c r="C4" s="429"/>
      <c r="D4" s="429"/>
      <c r="E4" s="430">
        <f>SUM(Skriveni!G977:G1286)</f>
        <v>128331331.98900004</v>
      </c>
      <c r="F4" s="431"/>
    </row>
    <row r="5" spans="1:6" ht="15" customHeight="1" x14ac:dyDescent="0.2">
      <c r="B5" s="428" t="str">
        <f>"Naziv: "&amp;IF(RefStr!B10&lt;&gt;"",RefStr!B10,"_______________________________________")</f>
        <v>Naziv: VELEUČILIŠTE U KARLOVCU</v>
      </c>
      <c r="C5" s="429"/>
      <c r="D5" s="429"/>
      <c r="E5" s="432" t="s">
        <v>7</v>
      </c>
      <c r="F5" s="432"/>
    </row>
    <row r="6" spans="1:6" ht="15" customHeight="1" x14ac:dyDescent="0.2">
      <c r="A6" s="24"/>
      <c r="B6" s="426" t="str">
        <f xml:space="preserve"> "Razina: " &amp; RefStr!B16 &amp; ", Razdjel: " &amp; TEXT(INT(VALUE(RefStr!B20)), "000")</f>
        <v>Razina: 11, Razdjel: 080</v>
      </c>
      <c r="C6" s="427"/>
      <c r="D6" s="427"/>
      <c r="E6" s="427"/>
      <c r="F6" s="427"/>
    </row>
    <row r="7" spans="1:6" ht="15" customHeight="1" x14ac:dyDescent="0.2">
      <c r="A7" s="24"/>
      <c r="B7" s="426" t="str">
        <f>"Djelatnost: " &amp; RefStr!B18 &amp; " " &amp; RefStr!C18</f>
        <v xml:space="preserve">Djelatnost: 8542 Visoko obrazovanje </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39853946</v>
      </c>
      <c r="E12" s="96">
        <f>E13+E74</f>
        <v>34814116</v>
      </c>
      <c r="F12" s="123">
        <f t="shared" ref="F12:F75" si="0">IF(D12&gt;0,IF(E12/D12&gt;=100,"&gt;&gt;100",E12/D12*100),"-")</f>
        <v>87.354250944185054</v>
      </c>
    </row>
    <row r="13" spans="1:6" s="3" customFormat="1" x14ac:dyDescent="0.2">
      <c r="A13" s="132">
        <v>0</v>
      </c>
      <c r="B13" s="314" t="s">
        <v>521</v>
      </c>
      <c r="C13" s="303">
        <v>2</v>
      </c>
      <c r="D13" s="97">
        <f>D14+D18+D57+D58+D62+D69</f>
        <v>25039446</v>
      </c>
      <c r="E13" s="97">
        <f>E14+E18+E57+E58+E62+E69</f>
        <v>20915930</v>
      </c>
      <c r="F13" s="124">
        <f t="shared" si="0"/>
        <v>83.531919995354528</v>
      </c>
    </row>
    <row r="14" spans="1:6" s="3" customFormat="1" x14ac:dyDescent="0.2">
      <c r="A14" s="132" t="s">
        <v>1564</v>
      </c>
      <c r="B14" s="314" t="s">
        <v>3259</v>
      </c>
      <c r="C14" s="303">
        <v>3</v>
      </c>
      <c r="D14" s="97">
        <f>D15+D16-D17</f>
        <v>282402</v>
      </c>
      <c r="E14" s="97">
        <f>E15+E16-E17</f>
        <v>412369</v>
      </c>
      <c r="F14" s="124">
        <f t="shared" si="0"/>
        <v>146.02198284714697</v>
      </c>
    </row>
    <row r="15" spans="1:6" s="3" customFormat="1" x14ac:dyDescent="0.2">
      <c r="A15" s="132" t="s">
        <v>3260</v>
      </c>
      <c r="B15" s="314" t="s">
        <v>3261</v>
      </c>
      <c r="C15" s="303">
        <v>4</v>
      </c>
      <c r="D15" s="94"/>
      <c r="E15" s="94">
        <v>107228</v>
      </c>
      <c r="F15" s="125" t="str">
        <f t="shared" si="0"/>
        <v>-</v>
      </c>
    </row>
    <row r="16" spans="1:6" s="3" customFormat="1" x14ac:dyDescent="0.2">
      <c r="A16" s="132" t="s">
        <v>3262</v>
      </c>
      <c r="B16" s="314" t="s">
        <v>358</v>
      </c>
      <c r="C16" s="303">
        <v>5</v>
      </c>
      <c r="D16" s="94">
        <v>282402</v>
      </c>
      <c r="E16" s="94">
        <v>305141</v>
      </c>
      <c r="F16" s="125">
        <f t="shared" si="0"/>
        <v>108.05199679888953</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24663852</v>
      </c>
      <c r="E18" s="97">
        <f>E19+E25+E35+E41+E47+E51</f>
        <v>20410369</v>
      </c>
      <c r="F18" s="124">
        <f t="shared" si="0"/>
        <v>82.754182112348062</v>
      </c>
    </row>
    <row r="19" spans="1:6" s="3" customFormat="1" x14ac:dyDescent="0.2">
      <c r="A19" s="315" t="s">
        <v>362</v>
      </c>
      <c r="B19" s="314" t="s">
        <v>3928</v>
      </c>
      <c r="C19" s="303">
        <v>8</v>
      </c>
      <c r="D19" s="97">
        <f>SUM(D20:D23)-D24</f>
        <v>19752554</v>
      </c>
      <c r="E19" s="97">
        <f>SUM(E20:E23)-E24</f>
        <v>17606137</v>
      </c>
      <c r="F19" s="124">
        <f t="shared" si="0"/>
        <v>89.13347104379514</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22012953</v>
      </c>
      <c r="E21" s="94">
        <v>24487503</v>
      </c>
      <c r="F21" s="125">
        <f t="shared" si="0"/>
        <v>111.24133595342707</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692875</v>
      </c>
      <c r="E23" s="94">
        <v>692875</v>
      </c>
      <c r="F23" s="125">
        <f t="shared" si="0"/>
        <v>100</v>
      </c>
    </row>
    <row r="24" spans="1:6" s="3" customFormat="1" x14ac:dyDescent="0.2">
      <c r="A24" s="132" t="s">
        <v>367</v>
      </c>
      <c r="B24" s="314" t="s">
        <v>1155</v>
      </c>
      <c r="C24" s="303">
        <v>13</v>
      </c>
      <c r="D24" s="94">
        <v>2953274</v>
      </c>
      <c r="E24" s="94">
        <v>7574241</v>
      </c>
      <c r="F24" s="125">
        <f t="shared" si="0"/>
        <v>256.46929475558312</v>
      </c>
    </row>
    <row r="25" spans="1:6" s="3" customFormat="1" x14ac:dyDescent="0.2">
      <c r="A25" s="315" t="s">
        <v>1156</v>
      </c>
      <c r="B25" s="314" t="s">
        <v>1261</v>
      </c>
      <c r="C25" s="303">
        <v>14</v>
      </c>
      <c r="D25" s="97">
        <f>SUM(D26:D33)-D34</f>
        <v>4313406</v>
      </c>
      <c r="E25" s="97">
        <f>SUM(E26:E33)-E34</f>
        <v>2168276</v>
      </c>
      <c r="F25" s="124">
        <f t="shared" si="0"/>
        <v>50.26830305331795</v>
      </c>
    </row>
    <row r="26" spans="1:6" s="3" customFormat="1" x14ac:dyDescent="0.2">
      <c r="A26" s="132" t="s">
        <v>1157</v>
      </c>
      <c r="B26" s="314" t="s">
        <v>3941</v>
      </c>
      <c r="C26" s="303">
        <v>15</v>
      </c>
      <c r="D26" s="94">
        <v>2717186</v>
      </c>
      <c r="E26" s="94">
        <v>2843519</v>
      </c>
      <c r="F26" s="125">
        <f t="shared" si="0"/>
        <v>104.64940567189733</v>
      </c>
    </row>
    <row r="27" spans="1:6" s="3" customFormat="1" x14ac:dyDescent="0.2">
      <c r="A27" s="132" t="s">
        <v>1158</v>
      </c>
      <c r="B27" s="314" t="s">
        <v>3965</v>
      </c>
      <c r="C27" s="303">
        <v>16</v>
      </c>
      <c r="D27" s="94">
        <v>231325</v>
      </c>
      <c r="E27" s="94">
        <v>241023</v>
      </c>
      <c r="F27" s="125">
        <f t="shared" si="0"/>
        <v>104.1923700421485</v>
      </c>
    </row>
    <row r="28" spans="1:6" s="3" customFormat="1" x14ac:dyDescent="0.2">
      <c r="A28" s="132" t="s">
        <v>1159</v>
      </c>
      <c r="B28" s="314" t="s">
        <v>3943</v>
      </c>
      <c r="C28" s="303">
        <v>17</v>
      </c>
      <c r="D28" s="94">
        <v>2115322</v>
      </c>
      <c r="E28" s="94">
        <v>2117410</v>
      </c>
      <c r="F28" s="125">
        <f t="shared" si="0"/>
        <v>100.09870837631338</v>
      </c>
    </row>
    <row r="29" spans="1:6" s="3" customFormat="1" x14ac:dyDescent="0.2">
      <c r="A29" s="132" t="s">
        <v>1160</v>
      </c>
      <c r="B29" s="314" t="s">
        <v>3944</v>
      </c>
      <c r="C29" s="303">
        <v>18</v>
      </c>
      <c r="D29" s="94">
        <v>5976257</v>
      </c>
      <c r="E29" s="94">
        <v>5978342</v>
      </c>
      <c r="F29" s="125">
        <f t="shared" si="0"/>
        <v>100.03488805785963</v>
      </c>
    </row>
    <row r="30" spans="1:6" s="3" customFormat="1" x14ac:dyDescent="0.2">
      <c r="A30" s="132" t="s">
        <v>2449</v>
      </c>
      <c r="B30" s="314" t="s">
        <v>2450</v>
      </c>
      <c r="C30" s="303">
        <v>19</v>
      </c>
      <c r="D30" s="94">
        <v>605498</v>
      </c>
      <c r="E30" s="94">
        <v>721472</v>
      </c>
      <c r="F30" s="125">
        <f t="shared" si="0"/>
        <v>119.15349018493868</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808516</v>
      </c>
      <c r="E32" s="94">
        <v>1010654</v>
      </c>
      <c r="F32" s="125">
        <f t="shared" si="0"/>
        <v>125.00111315051279</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8140698</v>
      </c>
      <c r="E34" s="94">
        <v>10744144</v>
      </c>
      <c r="F34" s="125">
        <f t="shared" si="0"/>
        <v>131.98062377452155</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450768</v>
      </c>
      <c r="E41" s="97">
        <f>SUM(E42:E45)-E46</f>
        <v>490589</v>
      </c>
      <c r="F41" s="124">
        <f t="shared" si="0"/>
        <v>108.83403435913819</v>
      </c>
    </row>
    <row r="42" spans="1:6" s="3" customFormat="1" x14ac:dyDescent="0.2">
      <c r="A42" s="132" t="s">
        <v>2878</v>
      </c>
      <c r="B42" s="314" t="s">
        <v>2886</v>
      </c>
      <c r="C42" s="303">
        <v>31</v>
      </c>
      <c r="D42" s="94">
        <v>450768</v>
      </c>
      <c r="E42" s="94">
        <v>497429</v>
      </c>
      <c r="F42" s="125">
        <f t="shared" si="0"/>
        <v>110.35144464558265</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v>6840</v>
      </c>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147124</v>
      </c>
      <c r="E51" s="97">
        <f>SUM(E52:E55)-E56</f>
        <v>145367</v>
      </c>
      <c r="F51" s="124">
        <f t="shared" si="0"/>
        <v>98.805769283053749</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147124</v>
      </c>
      <c r="E53" s="94">
        <v>147124</v>
      </c>
      <c r="F53" s="125">
        <f t="shared" si="0"/>
        <v>100</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v>1757</v>
      </c>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687820</v>
      </c>
      <c r="E60" s="94">
        <v>693697</v>
      </c>
      <c r="F60" s="125">
        <f t="shared" si="0"/>
        <v>100.85443866127765</v>
      </c>
    </row>
    <row r="61" spans="1:6" s="3" customFormat="1" x14ac:dyDescent="0.2">
      <c r="A61" s="132" t="s">
        <v>456</v>
      </c>
      <c r="B61" s="314" t="s">
        <v>617</v>
      </c>
      <c r="C61" s="303">
        <v>50</v>
      </c>
      <c r="D61" s="94">
        <v>687820</v>
      </c>
      <c r="E61" s="94">
        <v>693697</v>
      </c>
      <c r="F61" s="125">
        <f t="shared" si="0"/>
        <v>100.85443866127765</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93192</v>
      </c>
      <c r="E69" s="97">
        <f>SUM(E70:E73)</f>
        <v>93192</v>
      </c>
      <c r="F69" s="124">
        <f t="shared" si="0"/>
        <v>100</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v>93192</v>
      </c>
      <c r="E71" s="94">
        <v>93192</v>
      </c>
      <c r="F71" s="125">
        <f t="shared" si="0"/>
        <v>100</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14814500</v>
      </c>
      <c r="E74" s="97">
        <f>E75+E84+E92+E123+E139+E151+E168+E169</f>
        <v>13898186</v>
      </c>
      <c r="F74" s="124">
        <f t="shared" si="0"/>
        <v>93.814749063417608</v>
      </c>
    </row>
    <row r="75" spans="1:6" s="3" customFormat="1" x14ac:dyDescent="0.2">
      <c r="A75" s="272" t="s">
        <v>2744</v>
      </c>
      <c r="B75" s="314" t="s">
        <v>322</v>
      </c>
      <c r="C75" s="303">
        <v>64</v>
      </c>
      <c r="D75" s="97">
        <f>+D76+D81+D82+D83</f>
        <v>5404652</v>
      </c>
      <c r="E75" s="97">
        <f>+E76+E81+E82+E83</f>
        <v>4950114</v>
      </c>
      <c r="F75" s="124">
        <f t="shared" si="0"/>
        <v>91.589874796749172</v>
      </c>
    </row>
    <row r="76" spans="1:6" s="3" customFormat="1" x14ac:dyDescent="0.2">
      <c r="A76" s="132" t="s">
        <v>3429</v>
      </c>
      <c r="B76" s="317" t="s">
        <v>1885</v>
      </c>
      <c r="C76" s="303">
        <v>65</v>
      </c>
      <c r="D76" s="97">
        <f>SUM(D77:D80)</f>
        <v>5402163</v>
      </c>
      <c r="E76" s="97">
        <f>SUM(E77:E80)</f>
        <v>4949271</v>
      </c>
      <c r="F76" s="124">
        <f t="shared" ref="F76:F139" si="1">IF(D76&gt;0,IF(E76/D76&gt;=100,"&gt;&gt;100",E76/D76*100),"-")</f>
        <v>91.616469180955846</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5402163</v>
      </c>
      <c r="E78" s="94">
        <v>4949271</v>
      </c>
      <c r="F78" s="125">
        <f t="shared" si="1"/>
        <v>91.616469180955846</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2489</v>
      </c>
      <c r="E82" s="94">
        <v>843</v>
      </c>
      <c r="F82" s="125">
        <f t="shared" si="1"/>
        <v>33.869023704298918</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594531</v>
      </c>
      <c r="E84" s="97">
        <f>+E85+SUM(E88:E91)</f>
        <v>102573</v>
      </c>
      <c r="F84" s="124">
        <f t="shared" si="1"/>
        <v>17.252758897349338</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v>3798</v>
      </c>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594531</v>
      </c>
      <c r="E91" s="94">
        <v>98775</v>
      </c>
      <c r="F91" s="125">
        <f t="shared" si="1"/>
        <v>16.613936026885057</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10000</v>
      </c>
      <c r="E139" s="97">
        <f>E140+E147-E150</f>
        <v>10000</v>
      </c>
      <c r="F139" s="124">
        <f t="shared" si="1"/>
        <v>100</v>
      </c>
    </row>
    <row r="140" spans="1:6" s="3" customFormat="1" x14ac:dyDescent="0.2">
      <c r="A140" s="132"/>
      <c r="B140" s="314" t="s">
        <v>2956</v>
      </c>
      <c r="C140" s="303">
        <v>129</v>
      </c>
      <c r="D140" s="97">
        <f>SUM(D141:D146)</f>
        <v>10000</v>
      </c>
      <c r="E140" s="97">
        <f>SUM(E141:E146)</f>
        <v>10000</v>
      </c>
      <c r="F140" s="124">
        <f t="shared" ref="F140:F203" si="2">IF(D140&gt;0,IF(E140/D140&gt;=100,"&gt;&gt;100",E140/D140*100),"-")</f>
        <v>100</v>
      </c>
    </row>
    <row r="141" spans="1:6" s="3" customFormat="1" x14ac:dyDescent="0.2">
      <c r="A141" s="132" t="s">
        <v>483</v>
      </c>
      <c r="B141" s="314" t="s">
        <v>2623</v>
      </c>
      <c r="C141" s="303">
        <v>130</v>
      </c>
      <c r="D141" s="94">
        <v>10000</v>
      </c>
      <c r="E141" s="94">
        <v>10000</v>
      </c>
      <c r="F141" s="125">
        <f t="shared" si="2"/>
        <v>100</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7452192</v>
      </c>
      <c r="E151" s="97">
        <f>SUM(E152:E154)+SUM(E162:E166)-E167</f>
        <v>7433441</v>
      </c>
      <c r="F151" s="124">
        <f t="shared" si="2"/>
        <v>99.748382757717451</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7452192</v>
      </c>
      <c r="E164" s="94">
        <v>7433441</v>
      </c>
      <c r="F164" s="125">
        <f t="shared" si="2"/>
        <v>99.748382757717451</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1353125</v>
      </c>
      <c r="E169" s="97">
        <f>SUM(E170:E172)</f>
        <v>1402058</v>
      </c>
      <c r="F169" s="124">
        <f t="shared" si="2"/>
        <v>103.61629561200925</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1353125</v>
      </c>
      <c r="E172" s="94">
        <v>1402058</v>
      </c>
      <c r="F172" s="125">
        <f t="shared" si="2"/>
        <v>103.61629561200925</v>
      </c>
    </row>
    <row r="173" spans="1:6" s="3" customFormat="1" x14ac:dyDescent="0.2">
      <c r="A173" s="272"/>
      <c r="B173" s="314" t="s">
        <v>1068</v>
      </c>
      <c r="C173" s="303">
        <v>162</v>
      </c>
      <c r="D173" s="97">
        <f>D174+D234</f>
        <v>39853947</v>
      </c>
      <c r="E173" s="97">
        <f>E174+E234</f>
        <v>34814115</v>
      </c>
      <c r="F173" s="124">
        <f t="shared" si="2"/>
        <v>87.354246243163828</v>
      </c>
    </row>
    <row r="174" spans="1:6" s="3" customFormat="1" x14ac:dyDescent="0.2">
      <c r="A174" s="272" t="s">
        <v>3813</v>
      </c>
      <c r="B174" s="314" t="s">
        <v>1145</v>
      </c>
      <c r="C174" s="303">
        <v>163</v>
      </c>
      <c r="D174" s="97">
        <f>D175+D186+D187+D203+D231</f>
        <v>1957631</v>
      </c>
      <c r="E174" s="97">
        <f>E175+E186+E187+E203+E231</f>
        <v>1838507</v>
      </c>
      <c r="F174" s="124">
        <f t="shared" si="2"/>
        <v>93.914889986928074</v>
      </c>
    </row>
    <row r="175" spans="1:6" s="3" customFormat="1" x14ac:dyDescent="0.2">
      <c r="A175" s="272" t="s">
        <v>1181</v>
      </c>
      <c r="B175" s="314" t="s">
        <v>1547</v>
      </c>
      <c r="C175" s="303">
        <v>164</v>
      </c>
      <c r="D175" s="97">
        <f>SUM(D176:D178)+SUM(D182:D185)</f>
        <v>1912431</v>
      </c>
      <c r="E175" s="97">
        <f>SUM(E176:E178)+SUM(E182:E185)</f>
        <v>1835254</v>
      </c>
      <c r="F175" s="124">
        <f t="shared" si="2"/>
        <v>95.964455711081868</v>
      </c>
    </row>
    <row r="176" spans="1:6" s="3" customFormat="1" x14ac:dyDescent="0.2">
      <c r="A176" s="272" t="s">
        <v>1182</v>
      </c>
      <c r="B176" s="314" t="s">
        <v>1183</v>
      </c>
      <c r="C176" s="303">
        <v>165</v>
      </c>
      <c r="D176" s="94">
        <v>1286310</v>
      </c>
      <c r="E176" s="94">
        <v>1309175</v>
      </c>
      <c r="F176" s="125">
        <f t="shared" si="2"/>
        <v>101.7775652836408</v>
      </c>
    </row>
    <row r="177" spans="1:6" s="3" customFormat="1" x14ac:dyDescent="0.2">
      <c r="A177" s="272" t="s">
        <v>1184</v>
      </c>
      <c r="B177" s="314" t="s">
        <v>1185</v>
      </c>
      <c r="C177" s="303">
        <v>166</v>
      </c>
      <c r="D177" s="94">
        <v>611905</v>
      </c>
      <c r="E177" s="94">
        <v>511621</v>
      </c>
      <c r="F177" s="125">
        <f t="shared" si="2"/>
        <v>83.611181474248454</v>
      </c>
    </row>
    <row r="178" spans="1:6" s="3" customFormat="1" x14ac:dyDescent="0.2">
      <c r="A178" s="272" t="s">
        <v>1186</v>
      </c>
      <c r="B178" s="317" t="s">
        <v>2842</v>
      </c>
      <c r="C178" s="303">
        <v>167</v>
      </c>
      <c r="D178" s="97">
        <f>SUM(D179:D181)</f>
        <v>2216</v>
      </c>
      <c r="E178" s="97">
        <f>SUM(E179:E181)</f>
        <v>2071</v>
      </c>
      <c r="F178" s="124">
        <f t="shared" si="2"/>
        <v>93.45667870036101</v>
      </c>
    </row>
    <row r="179" spans="1:6" s="3" customFormat="1" x14ac:dyDescent="0.2">
      <c r="A179" s="272" t="s">
        <v>2843</v>
      </c>
      <c r="B179" s="314" t="s">
        <v>2844</v>
      </c>
      <c r="C179" s="303">
        <v>168</v>
      </c>
      <c r="D179" s="94">
        <v>2216</v>
      </c>
      <c r="E179" s="94">
        <v>2071</v>
      </c>
      <c r="F179" s="125">
        <f t="shared" si="2"/>
        <v>93.45667870036101</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v>12000</v>
      </c>
      <c r="E183" s="94">
        <v>12000</v>
      </c>
      <c r="F183" s="125">
        <f t="shared" si="2"/>
        <v>100</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v>387</v>
      </c>
      <c r="F185" s="125" t="str">
        <f t="shared" si="2"/>
        <v>-</v>
      </c>
    </row>
    <row r="186" spans="1:6" s="3" customFormat="1" x14ac:dyDescent="0.2">
      <c r="A186" s="272" t="s">
        <v>3033</v>
      </c>
      <c r="B186" s="314" t="s">
        <v>3034</v>
      </c>
      <c r="C186" s="303">
        <v>175</v>
      </c>
      <c r="D186" s="94">
        <v>45200</v>
      </c>
      <c r="E186" s="94">
        <v>3253</v>
      </c>
      <c r="F186" s="125">
        <f t="shared" si="2"/>
        <v>7.196902654867257</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37896316</v>
      </c>
      <c r="E234" s="97">
        <f>+E235+E243-E247+E251+E252+E253</f>
        <v>32975608</v>
      </c>
      <c r="F234" s="124">
        <f t="shared" si="3"/>
        <v>87.015339432993969</v>
      </c>
    </row>
    <row r="235" spans="1:6" s="3" customFormat="1" x14ac:dyDescent="0.2">
      <c r="A235" s="132" t="s">
        <v>1279</v>
      </c>
      <c r="B235" s="314" t="s">
        <v>3395</v>
      </c>
      <c r="C235" s="303">
        <v>224</v>
      </c>
      <c r="D235" s="97">
        <f>D236-D239</f>
        <v>24549028</v>
      </c>
      <c r="E235" s="97">
        <f>E236-E239</f>
        <v>20425511</v>
      </c>
      <c r="F235" s="124">
        <f t="shared" si="3"/>
        <v>83.202931700595229</v>
      </c>
    </row>
    <row r="236" spans="1:6" s="3" customFormat="1" x14ac:dyDescent="0.2">
      <c r="A236" s="132" t="s">
        <v>1280</v>
      </c>
      <c r="B236" s="314" t="s">
        <v>3396</v>
      </c>
      <c r="C236" s="303">
        <v>225</v>
      </c>
      <c r="D236" s="97">
        <f>SUM(D237:D238)</f>
        <v>24549028</v>
      </c>
      <c r="E236" s="97">
        <f>SUM(E237:E238)</f>
        <v>20425511</v>
      </c>
      <c r="F236" s="124">
        <f t="shared" si="3"/>
        <v>83.202931700595229</v>
      </c>
    </row>
    <row r="237" spans="1:6" s="3" customFormat="1" x14ac:dyDescent="0.2">
      <c r="A237" s="132" t="s">
        <v>1281</v>
      </c>
      <c r="B237" s="314" t="s">
        <v>1282</v>
      </c>
      <c r="C237" s="303">
        <v>226</v>
      </c>
      <c r="D237" s="94">
        <v>24135516</v>
      </c>
      <c r="E237" s="94">
        <v>20011999</v>
      </c>
      <c r="F237" s="125">
        <f t="shared" si="3"/>
        <v>82.915148779085555</v>
      </c>
    </row>
    <row r="238" spans="1:6" s="3" customFormat="1" x14ac:dyDescent="0.2">
      <c r="A238" s="132" t="s">
        <v>1283</v>
      </c>
      <c r="B238" s="314" t="s">
        <v>1284</v>
      </c>
      <c r="C238" s="303">
        <v>227</v>
      </c>
      <c r="D238" s="94">
        <v>413512</v>
      </c>
      <c r="E238" s="94">
        <v>413512</v>
      </c>
      <c r="F238" s="125">
        <f t="shared" si="3"/>
        <v>100</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5894739</v>
      </c>
      <c r="E243" s="97">
        <f>SUM(E244:E246)</f>
        <v>4982374</v>
      </c>
      <c r="F243" s="124">
        <f t="shared" si="3"/>
        <v>84.522385130198302</v>
      </c>
    </row>
    <row r="244" spans="1:6" s="3" customFormat="1" x14ac:dyDescent="0.2">
      <c r="A244" s="132" t="s">
        <v>2861</v>
      </c>
      <c r="B244" s="314" t="s">
        <v>4121</v>
      </c>
      <c r="C244" s="303">
        <v>233</v>
      </c>
      <c r="D244" s="94">
        <v>5894739</v>
      </c>
      <c r="E244" s="94">
        <v>4982374</v>
      </c>
      <c r="F244" s="125">
        <f t="shared" si="3"/>
        <v>84.522385130198302</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131019</v>
      </c>
      <c r="E247" s="97">
        <f>SUM(E248:E250)</f>
        <v>398116</v>
      </c>
      <c r="F247" s="124">
        <f t="shared" si="3"/>
        <v>303.86127202924769</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131019</v>
      </c>
      <c r="E249" s="94">
        <v>398116</v>
      </c>
      <c r="F249" s="125">
        <f t="shared" si="3"/>
        <v>303.86127202924769</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7583568</v>
      </c>
      <c r="E251" s="94">
        <v>7965839</v>
      </c>
      <c r="F251" s="125">
        <f t="shared" si="3"/>
        <v>105.04078027651364</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2369527</v>
      </c>
      <c r="F255" s="124" t="str">
        <f t="shared" si="3"/>
        <v>-</v>
      </c>
    </row>
    <row r="256" spans="1:6" s="3" customFormat="1" x14ac:dyDescent="0.2">
      <c r="A256" s="319" t="s">
        <v>302</v>
      </c>
      <c r="B256" s="320" t="s">
        <v>303</v>
      </c>
      <c r="C256" s="306">
        <v>245</v>
      </c>
      <c r="D256" s="95"/>
      <c r="E256" s="95">
        <v>2369527</v>
      </c>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v>7452192</v>
      </c>
      <c r="E261" s="94">
        <v>7433441</v>
      </c>
      <c r="F261" s="125">
        <f t="shared" si="4"/>
        <v>99.748382757717451</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1912431</v>
      </c>
      <c r="E288" s="94">
        <v>1835254</v>
      </c>
      <c r="F288" s="125">
        <f t="shared" si="4"/>
        <v>95.964455711081868</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v>45200</v>
      </c>
      <c r="E290" s="94">
        <v>3253</v>
      </c>
      <c r="F290" s="125">
        <f t="shared" si="4"/>
        <v>7.196902654867257</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Katarina Bukovac</v>
      </c>
      <c r="B325" s="291"/>
      <c r="D325" s="293"/>
      <c r="E325" s="293"/>
      <c r="F325" s="291"/>
      <c r="G325" s="307"/>
    </row>
    <row r="326" spans="1:7" s="292" customFormat="1" ht="15" customHeight="1" x14ac:dyDescent="0.2">
      <c r="A326" s="291" t="str">
        <f>IF(RefStr!H27="","Telefon za kontakt: _________________","Telefon za kontakt: " &amp; RefStr!H27)</f>
        <v>Telefon za kontakt: 047843505</v>
      </c>
      <c r="B326" s="291"/>
      <c r="F326" s="291"/>
      <c r="G326" s="307"/>
    </row>
    <row r="327" spans="1:7" s="292" customFormat="1" ht="15" customHeight="1" x14ac:dyDescent="0.2">
      <c r="A327" s="291" t="str">
        <f>IF(RefStr!H33="","Odgovorna osoba: _____________________________","Odgovorna osoba: " &amp; RefStr!H33)</f>
        <v>Odgovorna osoba: NINA POPOVIĆ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6" activePane="bottomLeft" state="frozen"/>
      <selection pane="bottomLeft" activeCell="E131" sqref="E13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21053</v>
      </c>
      <c r="C4" s="429"/>
      <c r="D4" s="429"/>
      <c r="E4" s="430">
        <f>SUM(Skriveni!G1287:G1423)</f>
        <v>35462473.816</v>
      </c>
      <c r="F4" s="431"/>
    </row>
    <row r="5" spans="1:6" ht="15" customHeight="1" x14ac:dyDescent="0.2">
      <c r="B5" s="428" t="str">
        <f>"Naziv: "&amp;IF(RefStr!B10&lt;&gt;"",RefStr!B10,"_______________________________________")</f>
        <v>Naziv: VELEUČILIŠTE U KARLOVCU</v>
      </c>
      <c r="C5" s="429"/>
      <c r="D5" s="429"/>
      <c r="E5" s="432" t="s">
        <v>7</v>
      </c>
      <c r="F5" s="432"/>
    </row>
    <row r="6" spans="1:6" ht="15" customHeight="1" x14ac:dyDescent="0.2">
      <c r="A6" s="24"/>
      <c r="B6" s="426" t="str">
        <f xml:space="preserve"> "Razina: " &amp; RefStr!B16 &amp; ", Razdjel: " &amp; TEXT(INT(VALUE(RefStr!B20)), "000")</f>
        <v>Razina: 11, Razdjel: 080</v>
      </c>
      <c r="C6" s="427"/>
      <c r="D6" s="427"/>
      <c r="E6" s="427"/>
      <c r="F6" s="427"/>
    </row>
    <row r="7" spans="1:6" ht="15" customHeight="1" x14ac:dyDescent="0.2">
      <c r="A7" s="24"/>
      <c r="B7" s="426" t="str">
        <f>"Djelatnost: " &amp; RefStr!B18 &amp; " " &amp; RefStr!C18</f>
        <v xml:space="preserve">Djelatnost: 8542 Visoko obrazovanje </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22865448</v>
      </c>
      <c r="E121" s="97">
        <f>E122+E125+E128+E129+SUM(E132:E135)</f>
        <v>25202063</v>
      </c>
      <c r="F121" s="125">
        <f t="shared" si="1"/>
        <v>110.21897755950376</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22865448</v>
      </c>
      <c r="E129" s="97">
        <f>SUM(E130:E131)</f>
        <v>25202063</v>
      </c>
      <c r="F129" s="125">
        <f t="shared" si="1"/>
        <v>110.21897755950376</v>
      </c>
    </row>
    <row r="130" spans="1:6" s="3" customFormat="1" x14ac:dyDescent="0.2">
      <c r="A130" s="132" t="s">
        <v>3248</v>
      </c>
      <c r="B130" s="105" t="s">
        <v>3207</v>
      </c>
      <c r="C130" s="303">
        <v>119</v>
      </c>
      <c r="D130" s="94">
        <v>22865448</v>
      </c>
      <c r="E130" s="94">
        <v>25202063</v>
      </c>
      <c r="F130" s="125">
        <f t="shared" si="1"/>
        <v>110.21897755950376</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22865448</v>
      </c>
      <c r="E148" s="107">
        <f>E12+E29+E35+E42+E82+E89+E96+E114+E121+E136</f>
        <v>25202063</v>
      </c>
      <c r="F148" s="126">
        <f t="shared" si="2"/>
        <v>110.21897755950376</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Katarina Bukovac</v>
      </c>
      <c r="B151" s="291"/>
      <c r="D151" s="293"/>
      <c r="E151" s="293"/>
      <c r="F151" s="291"/>
      <c r="G151" s="307"/>
    </row>
    <row r="152" spans="1:7" s="292" customFormat="1" ht="15" customHeight="1" x14ac:dyDescent="0.2">
      <c r="A152" s="291" t="str">
        <f>IF(RefStr!H27="","Telefon za kontakt: _________________","Telefon za kontakt: " &amp; RefStr!H27)</f>
        <v>Telefon za kontakt: 047843505</v>
      </c>
      <c r="B152" s="291"/>
      <c r="E152" s="291"/>
      <c r="F152" s="291"/>
      <c r="G152" s="307"/>
    </row>
    <row r="153" spans="1:7" s="292" customFormat="1" ht="15" customHeight="1" x14ac:dyDescent="0.2">
      <c r="A153" s="291" t="str">
        <f>IF(RefStr!H33="","Odgovorna osoba: _____________________________","Odgovorna osoba: " &amp; RefStr!H33)</f>
        <v>Odgovorna osoba: NINA POPOVIĆ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tabSelected="1" workbookViewId="0">
      <pane ySplit="1" topLeftCell="A23" activePane="bottomLeft" state="frozen"/>
      <selection pane="bottomLeft" activeCell="D32" sqref="D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21053</v>
      </c>
      <c r="C4" s="450"/>
      <c r="D4" s="430">
        <f>SUM(Skriveni!G1424:G1467)</f>
        <v>154.875</v>
      </c>
      <c r="E4" s="431"/>
    </row>
    <row r="5" spans="1:6" ht="15" customHeight="1" x14ac:dyDescent="0.2">
      <c r="B5" s="428" t="str">
        <f>"Naziv: "&amp;IF(RefStr!B10&lt;&gt;"",RefStr!B10,"_______________________________________")</f>
        <v>Naziv: VELEUČILIŠTE U KARLOVCU</v>
      </c>
      <c r="C5" s="450"/>
      <c r="D5" s="432" t="s">
        <v>7</v>
      </c>
      <c r="E5" s="432"/>
    </row>
    <row r="6" spans="1:6" ht="15" customHeight="1" x14ac:dyDescent="0.2">
      <c r="A6" s="24"/>
      <c r="B6" s="426" t="str">
        <f xml:space="preserve"> "Razina: " &amp; RefStr!B16 &amp; ", Razdjel: " &amp; TEXT(INT(VALUE(RefStr!B20)), "000")</f>
        <v>Razina: 11, Razdjel: 080</v>
      </c>
      <c r="C6" s="427"/>
      <c r="D6" s="427"/>
      <c r="E6" s="427"/>
      <c r="F6" s="427"/>
    </row>
    <row r="7" spans="1:6" ht="15" customHeight="1" x14ac:dyDescent="0.2">
      <c r="A7" s="24"/>
      <c r="B7" s="426" t="str">
        <f>"Djelatnost: " &amp; RefStr!B18 &amp; " " &amp; RefStr!C18</f>
        <v xml:space="preserve">Djelatnost: 8542 Visoko obrazovanje </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2625</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2625</v>
      </c>
      <c r="E29" s="134">
        <f>E30+E37</f>
        <v>0</v>
      </c>
    </row>
    <row r="30" spans="1:5" s="3" customFormat="1" ht="14.1" customHeight="1" x14ac:dyDescent="0.2">
      <c r="A30" s="301" t="s">
        <v>1215</v>
      </c>
      <c r="B30" s="302" t="s">
        <v>3068</v>
      </c>
      <c r="C30" s="303">
        <v>19</v>
      </c>
      <c r="D30" s="97">
        <f>SUM(D31:D36)</f>
        <v>2625</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2625</v>
      </c>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Katarina Bukovac</v>
      </c>
      <c r="B59" s="291"/>
      <c r="D59" s="293"/>
      <c r="E59" s="293"/>
      <c r="F59" s="291"/>
      <c r="G59" s="307"/>
    </row>
    <row r="60" spans="1:7" s="292" customFormat="1" ht="15" customHeight="1" x14ac:dyDescent="0.2">
      <c r="A60" s="291" t="str">
        <f>IF(RefStr!H27="","Telefon za kontakt: _________________","Telefon za kontakt: " &amp; RefStr!H27)</f>
        <v>Telefon za kontakt: 047843505</v>
      </c>
      <c r="B60" s="291"/>
      <c r="F60" s="291"/>
      <c r="G60" s="307"/>
    </row>
    <row r="61" spans="1:7" s="292" customFormat="1" ht="15" customHeight="1" x14ac:dyDescent="0.2">
      <c r="A61" s="291" t="str">
        <f>IF(RefStr!H33="","Odgovorna osoba: _____________________________","Odgovorna osoba: " &amp; RefStr!H33)</f>
        <v>Odgovorna osoba: NINA POPOVIĆ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21053</v>
      </c>
      <c r="C4" s="430">
        <f>SUM(Skriveni!G1468:G1561)</f>
        <v>2225716.4750000001</v>
      </c>
      <c r="D4" s="431"/>
    </row>
    <row r="5" spans="1:5" s="23" customFormat="1" ht="15" customHeight="1" x14ac:dyDescent="0.2">
      <c r="B5" s="98" t="str">
        <f>"Naziv: "&amp;IF(RefStr!B10&lt;&gt;"",RefStr!B10,"_______________________________________")</f>
        <v>Naziv: VELEUČILIŠTE U KARLOVCU</v>
      </c>
      <c r="C5" s="432" t="s">
        <v>7</v>
      </c>
      <c r="D5" s="432"/>
    </row>
    <row r="6" spans="1:5" s="23" customFormat="1" ht="15" customHeight="1" x14ac:dyDescent="0.2">
      <c r="A6" s="24"/>
      <c r="B6" s="426" t="str">
        <f xml:space="preserve"> "Razina: " &amp; RefStr!B16 &amp; ", Razdjel: " &amp; TEXT(INT(VALUE(RefStr!B20)), "000")</f>
        <v>Razina: 11, Razdjel: 080</v>
      </c>
      <c r="C6" s="457"/>
      <c r="D6" s="457"/>
      <c r="E6" s="285"/>
    </row>
    <row r="7" spans="1:5" s="23" customFormat="1" ht="15" customHeight="1" x14ac:dyDescent="0.2">
      <c r="A7" s="24"/>
      <c r="B7" s="426" t="str">
        <f>"Djelatnost: " &amp; RefStr!B18 &amp; " " &amp; RefStr!C18</f>
        <v xml:space="preserve">Djelatnost: 8542 Visoko obrazovanje </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1957631</v>
      </c>
    </row>
    <row r="13" spans="1:5" s="2" customFormat="1" x14ac:dyDescent="0.2">
      <c r="A13" s="270"/>
      <c r="B13" s="271" t="s">
        <v>2062</v>
      </c>
      <c r="C13" s="264">
        <v>2</v>
      </c>
      <c r="D13" s="140">
        <f>D14+D15+D23+D24</f>
        <v>24707160</v>
      </c>
    </row>
    <row r="14" spans="1:5" s="2" customFormat="1" x14ac:dyDescent="0.2">
      <c r="A14" s="270"/>
      <c r="B14" s="271" t="s">
        <v>4041</v>
      </c>
      <c r="C14" s="264">
        <v>3</v>
      </c>
      <c r="D14" s="141"/>
    </row>
    <row r="15" spans="1:5" s="2" customFormat="1" x14ac:dyDescent="0.2">
      <c r="A15" s="270" t="s">
        <v>1181</v>
      </c>
      <c r="B15" s="271" t="s">
        <v>3078</v>
      </c>
      <c r="C15" s="264">
        <v>4</v>
      </c>
      <c r="D15" s="140">
        <f>SUM(D16:D22)</f>
        <v>24200594</v>
      </c>
    </row>
    <row r="16" spans="1:5" s="2" customFormat="1" x14ac:dyDescent="0.2">
      <c r="A16" s="272" t="s">
        <v>1182</v>
      </c>
      <c r="B16" s="273" t="s">
        <v>1183</v>
      </c>
      <c r="C16" s="264">
        <v>5</v>
      </c>
      <c r="D16" s="141">
        <v>15896709</v>
      </c>
    </row>
    <row r="17" spans="1:4" s="2" customFormat="1" x14ac:dyDescent="0.2">
      <c r="A17" s="272" t="s">
        <v>1184</v>
      </c>
      <c r="B17" s="273" t="s">
        <v>1185</v>
      </c>
      <c r="C17" s="264">
        <v>6</v>
      </c>
      <c r="D17" s="141">
        <v>8073585</v>
      </c>
    </row>
    <row r="18" spans="1:4" s="2" customFormat="1" x14ac:dyDescent="0.2">
      <c r="A18" s="272" t="s">
        <v>1186</v>
      </c>
      <c r="B18" s="273" t="s">
        <v>1187</v>
      </c>
      <c r="C18" s="264">
        <v>7</v>
      </c>
      <c r="D18" s="141">
        <v>37177</v>
      </c>
    </row>
    <row r="19" spans="1:4" s="2" customFormat="1" x14ac:dyDescent="0.2">
      <c r="A19" s="272" t="s">
        <v>1188</v>
      </c>
      <c r="B19" s="273" t="s">
        <v>1189</v>
      </c>
      <c r="C19" s="264">
        <v>8</v>
      </c>
      <c r="D19" s="141"/>
    </row>
    <row r="20" spans="1:4" s="2" customFormat="1" x14ac:dyDescent="0.2">
      <c r="A20" s="272" t="s">
        <v>1190</v>
      </c>
      <c r="B20" s="273" t="s">
        <v>1191</v>
      </c>
      <c r="C20" s="264">
        <v>9</v>
      </c>
      <c r="D20" s="141">
        <v>149817</v>
      </c>
    </row>
    <row r="21" spans="1:4" s="2" customFormat="1" x14ac:dyDescent="0.2">
      <c r="A21" s="272" t="s">
        <v>1192</v>
      </c>
      <c r="B21" s="273" t="s">
        <v>2983</v>
      </c>
      <c r="C21" s="264">
        <v>10</v>
      </c>
      <c r="D21" s="141"/>
    </row>
    <row r="22" spans="1:4" s="2" customFormat="1" x14ac:dyDescent="0.2">
      <c r="A22" s="272" t="s">
        <v>1193</v>
      </c>
      <c r="B22" s="273" t="s">
        <v>3032</v>
      </c>
      <c r="C22" s="264">
        <v>11</v>
      </c>
      <c r="D22" s="141">
        <v>43306</v>
      </c>
    </row>
    <row r="23" spans="1:4" s="2" customFormat="1" x14ac:dyDescent="0.2">
      <c r="A23" s="270" t="s">
        <v>3033</v>
      </c>
      <c r="B23" s="271" t="s">
        <v>3034</v>
      </c>
      <c r="C23" s="264">
        <v>12</v>
      </c>
      <c r="D23" s="141">
        <v>506566</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24826285</v>
      </c>
    </row>
    <row r="31" spans="1:4" s="2" customFormat="1" x14ac:dyDescent="0.2">
      <c r="A31" s="272"/>
      <c r="B31" s="271" t="s">
        <v>4041</v>
      </c>
      <c r="C31" s="264">
        <v>20</v>
      </c>
      <c r="D31" s="141"/>
    </row>
    <row r="32" spans="1:4" s="2" customFormat="1" x14ac:dyDescent="0.2">
      <c r="A32" s="270" t="s">
        <v>1181</v>
      </c>
      <c r="B32" s="271" t="s">
        <v>3081</v>
      </c>
      <c r="C32" s="264">
        <v>21</v>
      </c>
      <c r="D32" s="140">
        <f>SUM(D33:D39)</f>
        <v>24277772</v>
      </c>
    </row>
    <row r="33" spans="1:4" s="2" customFormat="1" x14ac:dyDescent="0.2">
      <c r="A33" s="272" t="s">
        <v>1182</v>
      </c>
      <c r="B33" s="273" t="s">
        <v>1183</v>
      </c>
      <c r="C33" s="264">
        <v>22</v>
      </c>
      <c r="D33" s="141">
        <v>15873845</v>
      </c>
    </row>
    <row r="34" spans="1:4" s="2" customFormat="1" x14ac:dyDescent="0.2">
      <c r="A34" s="272" t="s">
        <v>1184</v>
      </c>
      <c r="B34" s="273" t="s">
        <v>1185</v>
      </c>
      <c r="C34" s="264">
        <v>23</v>
      </c>
      <c r="D34" s="141">
        <v>8173870</v>
      </c>
    </row>
    <row r="35" spans="1:4" s="2" customFormat="1" x14ac:dyDescent="0.2">
      <c r="A35" s="272" t="s">
        <v>1186</v>
      </c>
      <c r="B35" s="273" t="s">
        <v>1187</v>
      </c>
      <c r="C35" s="264">
        <v>24</v>
      </c>
      <c r="D35" s="141">
        <v>37321</v>
      </c>
    </row>
    <row r="36" spans="1:4" s="2" customFormat="1" x14ac:dyDescent="0.2">
      <c r="A36" s="272" t="s">
        <v>1188</v>
      </c>
      <c r="B36" s="273" t="s">
        <v>1189</v>
      </c>
      <c r="C36" s="264">
        <v>25</v>
      </c>
      <c r="D36" s="141"/>
    </row>
    <row r="37" spans="1:4" s="2" customFormat="1" x14ac:dyDescent="0.2">
      <c r="A37" s="272" t="s">
        <v>1190</v>
      </c>
      <c r="B37" s="273" t="s">
        <v>1191</v>
      </c>
      <c r="C37" s="264">
        <v>26</v>
      </c>
      <c r="D37" s="141">
        <v>149817</v>
      </c>
    </row>
    <row r="38" spans="1:4" s="2" customFormat="1" x14ac:dyDescent="0.2">
      <c r="A38" s="272" t="s">
        <v>1192</v>
      </c>
      <c r="B38" s="273" t="s">
        <v>2983</v>
      </c>
      <c r="C38" s="264">
        <v>27</v>
      </c>
      <c r="D38" s="141"/>
    </row>
    <row r="39" spans="1:4" s="2" customFormat="1" x14ac:dyDescent="0.2">
      <c r="A39" s="272" t="s">
        <v>1193</v>
      </c>
      <c r="B39" s="273" t="s">
        <v>3032</v>
      </c>
      <c r="C39" s="264">
        <v>28</v>
      </c>
      <c r="D39" s="141">
        <v>42919</v>
      </c>
    </row>
    <row r="40" spans="1:4" s="2" customFormat="1" x14ac:dyDescent="0.2">
      <c r="A40" s="275" t="s">
        <v>3033</v>
      </c>
      <c r="B40" s="271" t="s">
        <v>3034</v>
      </c>
      <c r="C40" s="264">
        <v>29</v>
      </c>
      <c r="D40" s="141">
        <v>548513</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1838506</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1838506</v>
      </c>
    </row>
    <row r="102" spans="1:5" s="2" customFormat="1" x14ac:dyDescent="0.2">
      <c r="A102" s="272"/>
      <c r="B102" s="280" t="s">
        <v>4041</v>
      </c>
      <c r="C102" s="264">
        <v>91</v>
      </c>
      <c r="D102" s="141"/>
    </row>
    <row r="103" spans="1:5" s="2" customFormat="1" x14ac:dyDescent="0.2">
      <c r="A103" s="272" t="s">
        <v>1181</v>
      </c>
      <c r="B103" s="280" t="s">
        <v>1365</v>
      </c>
      <c r="C103" s="264">
        <v>92</v>
      </c>
      <c r="D103" s="141">
        <v>1835253</v>
      </c>
    </row>
    <row r="104" spans="1:5" s="2" customFormat="1" x14ac:dyDescent="0.2">
      <c r="A104" s="272" t="s">
        <v>3033</v>
      </c>
      <c r="B104" s="280" t="s">
        <v>3034</v>
      </c>
      <c r="C104" s="264">
        <v>93</v>
      </c>
      <c r="D104" s="141">
        <v>3253</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Katarina Bukovac</v>
      </c>
      <c r="B109" s="291"/>
      <c r="C109" s="293"/>
      <c r="D109" s="293"/>
      <c r="E109" s="291"/>
    </row>
    <row r="110" spans="1:5" s="292" customFormat="1" ht="15" customHeight="1" x14ac:dyDescent="0.2">
      <c r="A110" s="291" t="str">
        <f>IF(RefStr!H27="","Telefon za kontakt: _________________","Telefon za kontakt: " &amp; RefStr!H27)</f>
        <v>Telefon za kontakt: 047843505</v>
      </c>
      <c r="B110" s="291"/>
      <c r="E110" s="291"/>
    </row>
    <row r="111" spans="1:5" s="292" customFormat="1" ht="15" customHeight="1" x14ac:dyDescent="0.2">
      <c r="A111" s="291" t="str">
        <f>IF(RefStr!H33="","Odgovorna osoba: _____________________________","Odgovorna osoba: " &amp; RefStr!H33)</f>
        <v>Odgovorna osoba: NINA POPOVIĆ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59"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11</v>
      </c>
      <c r="J3" s="243" t="str">
        <f>RefStr!B25</f>
        <v>DA</v>
      </c>
      <c r="K3" s="239" t="str">
        <f>RefStr!B29</f>
        <v>DA</v>
      </c>
      <c r="L3" s="239" t="str">
        <f>RefStr!B31</f>
        <v>DA</v>
      </c>
      <c r="M3" s="239" t="str">
        <f>RefStr!B27</f>
        <v>DA</v>
      </c>
      <c r="N3" s="239" t="str">
        <f>RefStr!B33</f>
        <v>DA</v>
      </c>
      <c r="O3" s="239">
        <f>RefStr!B6</f>
        <v>21053</v>
      </c>
      <c r="P3" s="239">
        <f>RefStr!B20</f>
        <v>80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Provjera</v>
      </c>
      <c r="C213" s="176" t="s">
        <v>930</v>
      </c>
      <c r="E213" s="237">
        <v>0</v>
      </c>
      <c r="F213" s="237">
        <f t="shared" si="14"/>
        <v>1</v>
      </c>
      <c r="L213" s="235">
        <f>IF(AND(PRRAS!D270&gt;0,PRRAS!D799=0),1,0)</f>
        <v>1</v>
      </c>
      <c r="M213" s="235">
        <f>IF(AND(PRRAS!E270&gt;0,PRRAS!E799=0),1,0)</f>
        <v>1</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Katarina Bukovac</cp:lastModifiedBy>
  <cp:lastPrinted>2019-01-25T12:51:05Z</cp:lastPrinted>
  <dcterms:created xsi:type="dcterms:W3CDTF">2001-11-21T09:32:18Z</dcterms:created>
  <dcterms:modified xsi:type="dcterms:W3CDTF">2019-01-28T09:02:58Z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